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vincaton/Library/Mobile Documents/com~apple~CloudDocs/10 Working Files/"/>
    </mc:Choice>
  </mc:AlternateContent>
  <xr:revisionPtr revIDLastSave="0" documentId="13_ncr:1_{DA356503-95AC-E04D-A222-7F4AF2AF0A14}" xr6:coauthVersionLast="47" xr6:coauthVersionMax="47" xr10:uidLastSave="{00000000-0000-0000-0000-000000000000}"/>
  <bookViews>
    <workbookView xWindow="30800" yWindow="1560" windowWidth="26160" windowHeight="23640" firstSheet="9" activeTab="12" xr2:uid="{604AA8F7-3AEB-154D-9295-ABDBAC8288E8}"/>
  </bookViews>
  <sheets>
    <sheet name="Hurley 16th April 2023" sheetId="1" r:id="rId1"/>
    <sheet name="Buckminster 30th April 2023" sheetId="3" r:id="rId2"/>
    <sheet name="Championships 14th May 2023" sheetId="6" r:id="rId3"/>
    <sheet name="Skelbrooke 21st May 2023" sheetId="5" r:id="rId4"/>
    <sheet name="Knettishall 3rd June 2023" sheetId="4" r:id="rId5"/>
    <sheet name="Ashbourne 18th June 2023" sheetId="9" r:id="rId6"/>
    <sheet name="Colmworth 2nd July 2023" sheetId="10" r:id="rId7"/>
    <sheet name="Baldock 13th August 2023" sheetId="12" r:id="rId8"/>
    <sheet name="Ashbourne 20th August 2023" sheetId="16" r:id="rId9"/>
    <sheet name="Knettishall 16th September 2023" sheetId="13" r:id="rId10"/>
    <sheet name="Leicester 24th September 2023" sheetId="14" r:id="rId11"/>
    <sheet name="Nationals 1st October 2023" sheetId="15" r:id="rId12"/>
    <sheet name="GBRCAA National League" sheetId="2" r:id="rId13"/>
    <sheet name="BMFA League" sheetId="7" r:id="rId14"/>
    <sheet name="Bonus Points" sheetId="11" r:id="rId15"/>
  </sheets>
  <externalReferences>
    <externalReference r:id="rId16"/>
  </externalReferenc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2" l="1"/>
  <c r="O8" i="2"/>
  <c r="M9" i="2"/>
  <c r="O9" i="2"/>
  <c r="M47" i="2"/>
  <c r="O47" i="2"/>
  <c r="M29" i="2"/>
  <c r="M28" i="2"/>
  <c r="M27" i="2"/>
  <c r="M25" i="2"/>
  <c r="M23" i="2"/>
  <c r="M44" i="2"/>
  <c r="M20" i="2"/>
  <c r="A16" i="2"/>
  <c r="M13" i="2"/>
  <c r="M7" i="2"/>
  <c r="G11" i="7"/>
  <c r="G10" i="7"/>
  <c r="G16" i="7"/>
  <c r="G14" i="7"/>
  <c r="G13" i="7"/>
  <c r="G12" i="7"/>
  <c r="G9" i="7"/>
  <c r="G8" i="7"/>
  <c r="G6" i="7"/>
  <c r="G7" i="7"/>
  <c r="AG24" i="15"/>
  <c r="AG25" i="15"/>
  <c r="AG26" i="15"/>
  <c r="AG27" i="15"/>
  <c r="AG28" i="15"/>
  <c r="AG29" i="15"/>
  <c r="AG30" i="15"/>
  <c r="AG31" i="15"/>
  <c r="AG32" i="15"/>
  <c r="AG23" i="15"/>
  <c r="U24" i="15"/>
  <c r="V24" i="15"/>
  <c r="W24" i="15"/>
  <c r="X24" i="15"/>
  <c r="Y24" i="15"/>
  <c r="U25" i="15"/>
  <c r="V25" i="15"/>
  <c r="W25" i="15"/>
  <c r="X25" i="15"/>
  <c r="Y25" i="15"/>
  <c r="U26" i="15"/>
  <c r="V26" i="15"/>
  <c r="W26" i="15"/>
  <c r="X26" i="15"/>
  <c r="Y26" i="15"/>
  <c r="U27" i="15"/>
  <c r="V27" i="15"/>
  <c r="W27" i="15"/>
  <c r="X27" i="15"/>
  <c r="Y27" i="15"/>
  <c r="U28" i="15"/>
  <c r="V28" i="15"/>
  <c r="W28" i="15"/>
  <c r="X28" i="15"/>
  <c r="Y28" i="15"/>
  <c r="U29" i="15"/>
  <c r="V29" i="15"/>
  <c r="W29" i="15"/>
  <c r="X29" i="15"/>
  <c r="Y29" i="15"/>
  <c r="U30" i="15"/>
  <c r="V30" i="15"/>
  <c r="W30" i="15"/>
  <c r="X30" i="15"/>
  <c r="Y30" i="15"/>
  <c r="U31" i="15"/>
  <c r="V31" i="15"/>
  <c r="W31" i="15"/>
  <c r="X31" i="15"/>
  <c r="Y31" i="15"/>
  <c r="U32" i="15"/>
  <c r="V32" i="15"/>
  <c r="W32" i="15"/>
  <c r="X32" i="15"/>
  <c r="Y32" i="15"/>
  <c r="Y23" i="15"/>
  <c r="X23" i="15"/>
  <c r="W23" i="15"/>
  <c r="N24" i="15"/>
  <c r="N25" i="15"/>
  <c r="N26" i="15"/>
  <c r="N27" i="15"/>
  <c r="N28" i="15"/>
  <c r="N29" i="15"/>
  <c r="N30" i="15"/>
  <c r="N31" i="15"/>
  <c r="N32" i="15"/>
  <c r="N23" i="15"/>
  <c r="J32" i="15"/>
  <c r="J31" i="15"/>
  <c r="J30" i="15"/>
  <c r="J29" i="15"/>
  <c r="J28" i="15"/>
  <c r="J27" i="15"/>
  <c r="J26" i="15"/>
  <c r="J25" i="15"/>
  <c r="J24" i="15"/>
  <c r="J23" i="15"/>
  <c r="H32" i="15"/>
  <c r="H31" i="15"/>
  <c r="H30" i="15"/>
  <c r="H29" i="15"/>
  <c r="H28" i="15"/>
  <c r="H27" i="15"/>
  <c r="H26" i="15"/>
  <c r="H25" i="15"/>
  <c r="H24" i="15"/>
  <c r="H23" i="15"/>
  <c r="V23" i="15"/>
  <c r="U23" i="15"/>
  <c r="L32" i="15"/>
  <c r="F32" i="15"/>
  <c r="D32" i="15"/>
  <c r="S14" i="15"/>
  <c r="S15" i="15"/>
  <c r="S16" i="15"/>
  <c r="S17" i="15"/>
  <c r="S18" i="15"/>
  <c r="S19" i="15"/>
  <c r="Q14" i="15"/>
  <c r="Q15" i="15"/>
  <c r="Q16" i="15"/>
  <c r="Q17" i="15"/>
  <c r="Q18" i="15"/>
  <c r="Q19" i="15"/>
  <c r="R14" i="15"/>
  <c r="R15" i="15"/>
  <c r="R16" i="15"/>
  <c r="R17" i="15"/>
  <c r="R18" i="15"/>
  <c r="R19" i="15"/>
  <c r="Q13" i="15"/>
  <c r="P14" i="15"/>
  <c r="P15" i="15"/>
  <c r="P16" i="15"/>
  <c r="P17" i="15"/>
  <c r="P18" i="15"/>
  <c r="P19" i="15"/>
  <c r="P13" i="15"/>
  <c r="Q10" i="15"/>
  <c r="P10" i="15"/>
  <c r="Q7" i="15"/>
  <c r="Q4" i="15"/>
  <c r="Q3" i="15"/>
  <c r="P4" i="15"/>
  <c r="P3" i="15"/>
  <c r="AA14" i="15"/>
  <c r="AB14" i="15"/>
  <c r="AC14" i="15"/>
  <c r="AD14" i="15"/>
  <c r="AE14" i="15"/>
  <c r="AA15" i="15"/>
  <c r="AB15" i="15"/>
  <c r="AC15" i="15"/>
  <c r="AD15" i="15"/>
  <c r="AE15" i="15"/>
  <c r="AA16" i="15"/>
  <c r="AB16" i="15"/>
  <c r="AC16" i="15"/>
  <c r="AD16" i="15"/>
  <c r="AE16" i="15"/>
  <c r="AA17" i="15"/>
  <c r="AB17" i="15"/>
  <c r="AC17" i="15"/>
  <c r="AD17" i="15"/>
  <c r="AE17" i="15"/>
  <c r="AA18" i="15"/>
  <c r="AB18" i="15"/>
  <c r="AC18" i="15"/>
  <c r="AD18" i="15"/>
  <c r="AE18" i="15"/>
  <c r="AA19" i="15"/>
  <c r="AB19" i="15"/>
  <c r="AC19" i="15"/>
  <c r="AD19" i="15"/>
  <c r="AE19" i="15"/>
  <c r="U14" i="15"/>
  <c r="V14" i="15"/>
  <c r="W14" i="15"/>
  <c r="X14" i="15"/>
  <c r="Y14" i="15"/>
  <c r="U15" i="15"/>
  <c r="V15" i="15"/>
  <c r="W15" i="15"/>
  <c r="X15" i="15"/>
  <c r="Y15" i="15"/>
  <c r="U16" i="15"/>
  <c r="V16" i="15"/>
  <c r="W16" i="15"/>
  <c r="X16" i="15"/>
  <c r="Y16" i="15"/>
  <c r="U17" i="15"/>
  <c r="V17" i="15"/>
  <c r="W17" i="15"/>
  <c r="X17" i="15"/>
  <c r="Y17" i="15"/>
  <c r="U18" i="15"/>
  <c r="V18" i="15"/>
  <c r="W18" i="15"/>
  <c r="X18" i="15"/>
  <c r="Y18" i="15"/>
  <c r="U19" i="15"/>
  <c r="V19" i="15"/>
  <c r="W19" i="15"/>
  <c r="X19" i="15"/>
  <c r="Y19" i="15"/>
  <c r="N14" i="15"/>
  <c r="N15" i="15"/>
  <c r="N16" i="15"/>
  <c r="N17" i="15"/>
  <c r="N18" i="15"/>
  <c r="N19" i="15"/>
  <c r="D17" i="15"/>
  <c r="F17" i="15"/>
  <c r="H17" i="15"/>
  <c r="J17" i="15"/>
  <c r="L17" i="15"/>
  <c r="D16" i="15"/>
  <c r="F16" i="15"/>
  <c r="H16" i="15"/>
  <c r="J16" i="15"/>
  <c r="L16" i="15"/>
  <c r="D13" i="15"/>
  <c r="U13" i="15"/>
  <c r="F13" i="15"/>
  <c r="V13" i="15"/>
  <c r="H13" i="15"/>
  <c r="W13" i="15"/>
  <c r="J13" i="15"/>
  <c r="X13" i="15"/>
  <c r="L13" i="15"/>
  <c r="Y13" i="15"/>
  <c r="N13" i="15"/>
  <c r="L31" i="15"/>
  <c r="L30" i="15"/>
  <c r="L29" i="15"/>
  <c r="L28" i="15"/>
  <c r="L27" i="15"/>
  <c r="L26" i="15"/>
  <c r="L25" i="15"/>
  <c r="L24" i="15"/>
  <c r="L23" i="15"/>
  <c r="F31" i="15"/>
  <c r="F30" i="15"/>
  <c r="F29" i="15"/>
  <c r="F28" i="15"/>
  <c r="F27" i="15"/>
  <c r="F26" i="15"/>
  <c r="F25" i="15"/>
  <c r="F24" i="15"/>
  <c r="F23" i="15"/>
  <c r="D24" i="15"/>
  <c r="D25" i="15"/>
  <c r="D26" i="15"/>
  <c r="D27" i="15"/>
  <c r="D28" i="15"/>
  <c r="D29" i="15"/>
  <c r="D30" i="15"/>
  <c r="D31" i="15"/>
  <c r="D23" i="15"/>
  <c r="N10" i="15"/>
  <c r="N7" i="15"/>
  <c r="L19" i="15"/>
  <c r="L18" i="15"/>
  <c r="L15" i="15"/>
  <c r="L14" i="15"/>
  <c r="J19" i="15"/>
  <c r="J18" i="15"/>
  <c r="J15" i="15"/>
  <c r="J14" i="15"/>
  <c r="H19" i="15"/>
  <c r="H18" i="15"/>
  <c r="H15" i="15"/>
  <c r="H14" i="15"/>
  <c r="F19" i="15"/>
  <c r="F18" i="15"/>
  <c r="F15" i="15"/>
  <c r="F14" i="15"/>
  <c r="D14" i="15"/>
  <c r="D15" i="15"/>
  <c r="D18" i="15"/>
  <c r="D19" i="15"/>
  <c r="L10" i="15"/>
  <c r="L7" i="15"/>
  <c r="N4" i="15"/>
  <c r="N3" i="15"/>
  <c r="L35" i="2"/>
  <c r="L25" i="2"/>
  <c r="L37" i="2"/>
  <c r="L28" i="2"/>
  <c r="L23" i="2"/>
  <c r="L17" i="2"/>
  <c r="L13" i="2"/>
  <c r="O17" i="2"/>
  <c r="L7" i="2"/>
  <c r="I17" i="13" a="1"/>
  <c r="I17" i="13"/>
  <c r="I13" i="13" a="1"/>
  <c r="I13" i="13"/>
  <c r="I14" i="13" a="1"/>
  <c r="I15" i="13" a="1"/>
  <c r="I16" i="13" a="1"/>
  <c r="I14" i="13"/>
  <c r="I15" i="13"/>
  <c r="I16" i="13"/>
  <c r="K17" i="13"/>
  <c r="L17" i="13"/>
  <c r="M17" i="13"/>
  <c r="N17" i="13"/>
  <c r="K16" i="13"/>
  <c r="L16" i="13"/>
  <c r="M16" i="13"/>
  <c r="N16" i="13"/>
  <c r="K15" i="13"/>
  <c r="L15" i="13"/>
  <c r="M15" i="13"/>
  <c r="N15" i="13"/>
  <c r="K14" i="13"/>
  <c r="L14" i="13"/>
  <c r="M14" i="13"/>
  <c r="N14" i="13"/>
  <c r="K13" i="13"/>
  <c r="L13" i="13"/>
  <c r="M13" i="13"/>
  <c r="N13" i="13"/>
  <c r="I10" i="13" a="1"/>
  <c r="I10" i="13"/>
  <c r="I7" i="13" a="1"/>
  <c r="I7" i="13"/>
  <c r="I8" i="13" a="1"/>
  <c r="I9" i="13" a="1"/>
  <c r="I8" i="13"/>
  <c r="I9" i="13"/>
  <c r="K10" i="13"/>
  <c r="L10" i="13"/>
  <c r="M10" i="13"/>
  <c r="N10" i="13"/>
  <c r="K9" i="13"/>
  <c r="L9" i="13"/>
  <c r="M9" i="13"/>
  <c r="N9" i="13"/>
  <c r="K8" i="13"/>
  <c r="L8" i="13"/>
  <c r="M8" i="13"/>
  <c r="N8" i="13"/>
  <c r="K7" i="13"/>
  <c r="L7" i="13"/>
  <c r="M7" i="13"/>
  <c r="N7" i="13"/>
  <c r="I3" i="13" a="1"/>
  <c r="I3" i="13"/>
  <c r="K3" i="13"/>
  <c r="L3" i="13"/>
  <c r="M3" i="13"/>
  <c r="N3" i="13"/>
  <c r="E6" i="7"/>
  <c r="E7" i="7"/>
  <c r="E8" i="7"/>
  <c r="E9" i="7"/>
  <c r="E15" i="7"/>
  <c r="E17" i="7"/>
  <c r="C15" i="2"/>
  <c r="D15" i="2"/>
  <c r="O15" i="2"/>
  <c r="D14" i="2"/>
  <c r="F14" i="2"/>
  <c r="H14" i="2"/>
  <c r="I14" i="2"/>
  <c r="O14" i="2"/>
  <c r="F16" i="2"/>
  <c r="O16" i="2"/>
  <c r="V8" i="16"/>
  <c r="V9" i="16"/>
  <c r="V10" i="16"/>
  <c r="V11" i="16"/>
  <c r="V12" i="16"/>
  <c r="V7" i="16"/>
  <c r="U8" i="16"/>
  <c r="U9" i="16"/>
  <c r="U10" i="16"/>
  <c r="U11" i="16"/>
  <c r="U12" i="16"/>
  <c r="U7" i="16"/>
  <c r="S12" i="16"/>
  <c r="R12" i="16"/>
  <c r="Q12" i="16"/>
  <c r="S11" i="16"/>
  <c r="R11" i="16"/>
  <c r="Q11" i="16"/>
  <c r="S10" i="16"/>
  <c r="R10" i="16"/>
  <c r="Q10" i="16"/>
  <c r="S9" i="16"/>
  <c r="R9" i="16"/>
  <c r="Q9" i="16"/>
  <c r="S8" i="16"/>
  <c r="R8" i="16"/>
  <c r="Q8" i="16"/>
  <c r="S7" i="16"/>
  <c r="R7" i="16"/>
  <c r="Q7" i="16"/>
  <c r="P8" i="16"/>
  <c r="P9" i="16"/>
  <c r="P10" i="16"/>
  <c r="P11" i="16"/>
  <c r="P12" i="16"/>
  <c r="P7" i="16"/>
  <c r="K25" i="2"/>
  <c r="K27" i="2"/>
  <c r="K33" i="2"/>
  <c r="K31" i="2"/>
  <c r="K24" i="2"/>
  <c r="K30" i="2"/>
  <c r="K20" i="2"/>
  <c r="L4" i="16"/>
  <c r="I7" i="16"/>
  <c r="I8" i="16"/>
  <c r="I9" i="16"/>
  <c r="I10" i="16"/>
  <c r="I11" i="16"/>
  <c r="I12" i="16"/>
  <c r="K12" i="16"/>
  <c r="L12" i="16"/>
  <c r="M12" i="16"/>
  <c r="N12" i="16"/>
  <c r="K11" i="16"/>
  <c r="L11" i="16"/>
  <c r="M11" i="16"/>
  <c r="N11" i="16"/>
  <c r="K10" i="16"/>
  <c r="L10" i="16"/>
  <c r="M10" i="16"/>
  <c r="N10" i="16"/>
  <c r="K9" i="16"/>
  <c r="L9" i="16"/>
  <c r="M9" i="16"/>
  <c r="N9" i="16"/>
  <c r="K8" i="16"/>
  <c r="L8" i="16"/>
  <c r="M8" i="16"/>
  <c r="N8" i="16"/>
  <c r="K7" i="16"/>
  <c r="L7" i="16"/>
  <c r="M7" i="16"/>
  <c r="N7" i="16"/>
  <c r="I4" i="16"/>
  <c r="K4" i="16"/>
  <c r="M4" i="16"/>
  <c r="N4" i="16"/>
  <c r="G23" i="12"/>
  <c r="G16" i="12"/>
  <c r="G17" i="12"/>
  <c r="G18" i="12"/>
  <c r="G19" i="12"/>
  <c r="G20" i="12"/>
  <c r="G21" i="12"/>
  <c r="G22" i="12"/>
  <c r="I23" i="12"/>
  <c r="J23" i="12"/>
  <c r="K23" i="12"/>
  <c r="L23" i="12"/>
  <c r="J48" i="2"/>
  <c r="I22" i="12"/>
  <c r="J22" i="12"/>
  <c r="K22" i="12"/>
  <c r="L22" i="12"/>
  <c r="J46" i="2"/>
  <c r="I21" i="12"/>
  <c r="J21" i="12"/>
  <c r="K21" i="12"/>
  <c r="L21" i="12"/>
  <c r="J37" i="2"/>
  <c r="I20" i="12"/>
  <c r="J20" i="12"/>
  <c r="K20" i="12"/>
  <c r="L20" i="12"/>
  <c r="J35" i="2"/>
  <c r="I19" i="12"/>
  <c r="J19" i="12"/>
  <c r="K19" i="12"/>
  <c r="L19" i="12"/>
  <c r="J28" i="2"/>
  <c r="I18" i="12"/>
  <c r="J18" i="12"/>
  <c r="K18" i="12"/>
  <c r="L18" i="12"/>
  <c r="J36" i="2"/>
  <c r="I17" i="12"/>
  <c r="J17" i="12"/>
  <c r="K17" i="12"/>
  <c r="L17" i="12"/>
  <c r="J25" i="2"/>
  <c r="I16" i="12"/>
  <c r="J16" i="12"/>
  <c r="K16" i="12"/>
  <c r="L16" i="12"/>
  <c r="J23" i="2"/>
  <c r="G8" i="12"/>
  <c r="G5" i="12"/>
  <c r="I8" i="12"/>
  <c r="J8" i="12"/>
  <c r="K8" i="12"/>
  <c r="L8" i="12"/>
  <c r="J13" i="2"/>
  <c r="G13" i="12"/>
  <c r="I13" i="12"/>
  <c r="J13" i="12"/>
  <c r="K13" i="12"/>
  <c r="L13" i="12"/>
  <c r="J20" i="2"/>
  <c r="G3" i="12"/>
  <c r="G4" i="12"/>
  <c r="I5" i="12"/>
  <c r="J5" i="12"/>
  <c r="K5" i="12"/>
  <c r="L5" i="12"/>
  <c r="I4" i="12"/>
  <c r="J4" i="12"/>
  <c r="K4" i="12"/>
  <c r="L4" i="12"/>
  <c r="J7" i="2"/>
  <c r="I3" i="12"/>
  <c r="J3" i="12"/>
  <c r="K3" i="12"/>
  <c r="L3" i="12"/>
  <c r="I37" i="2"/>
  <c r="I35" i="2"/>
  <c r="I28" i="2"/>
  <c r="I27" i="2"/>
  <c r="I25" i="2"/>
  <c r="I36" i="2"/>
  <c r="I23" i="2"/>
  <c r="I24" i="2"/>
  <c r="I20" i="2"/>
  <c r="I13" i="2"/>
  <c r="G11" i="10"/>
  <c r="G12" i="10"/>
  <c r="G13" i="10"/>
  <c r="G14" i="10"/>
  <c r="G15" i="10"/>
  <c r="G16" i="10"/>
  <c r="G17" i="10"/>
  <c r="G18" i="10"/>
  <c r="I18" i="10"/>
  <c r="J18" i="10"/>
  <c r="K18" i="10"/>
  <c r="L18" i="10"/>
  <c r="I17" i="10"/>
  <c r="J17" i="10"/>
  <c r="K17" i="10"/>
  <c r="L17" i="10"/>
  <c r="I16" i="10"/>
  <c r="J16" i="10"/>
  <c r="K16" i="10"/>
  <c r="L16" i="10"/>
  <c r="I15" i="10"/>
  <c r="J15" i="10"/>
  <c r="K15" i="10"/>
  <c r="L15" i="10"/>
  <c r="I14" i="10"/>
  <c r="J14" i="10"/>
  <c r="K14" i="10"/>
  <c r="L14" i="10"/>
  <c r="I13" i="10"/>
  <c r="J13" i="10"/>
  <c r="K13" i="10"/>
  <c r="L13" i="10"/>
  <c r="I12" i="10"/>
  <c r="J12" i="10"/>
  <c r="K12" i="10"/>
  <c r="L12" i="10"/>
  <c r="I11" i="10"/>
  <c r="J11" i="10"/>
  <c r="K11" i="10"/>
  <c r="L11" i="10"/>
  <c r="G8" i="10"/>
  <c r="I8" i="10"/>
  <c r="J8" i="10"/>
  <c r="K8" i="10"/>
  <c r="L8" i="10"/>
  <c r="G5" i="10"/>
  <c r="G4" i="10"/>
  <c r="I5" i="10"/>
  <c r="J5" i="10"/>
  <c r="K5" i="10"/>
  <c r="L5" i="10"/>
  <c r="I4" i="10"/>
  <c r="J4" i="10"/>
  <c r="K4" i="10"/>
  <c r="L4" i="10"/>
  <c r="H40" i="2"/>
  <c r="H32" i="2"/>
  <c r="H29" i="2"/>
  <c r="H26" i="2"/>
  <c r="H23" i="2"/>
  <c r="H33" i="2"/>
  <c r="H45" i="2"/>
  <c r="H39" i="2"/>
  <c r="H31" i="2"/>
  <c r="H24" i="2"/>
  <c r="H20" i="2"/>
  <c r="H13" i="2"/>
  <c r="J3" i="3"/>
  <c r="I5" i="9"/>
  <c r="I4" i="9"/>
  <c r="G20" i="9"/>
  <c r="G11" i="9"/>
  <c r="G12" i="9"/>
  <c r="G13" i="9"/>
  <c r="G14" i="9"/>
  <c r="G15" i="9"/>
  <c r="G16" i="9"/>
  <c r="G17" i="9"/>
  <c r="G18" i="9"/>
  <c r="G19" i="9"/>
  <c r="I20" i="9"/>
  <c r="J20" i="9"/>
  <c r="K20" i="9"/>
  <c r="L20" i="9"/>
  <c r="I19" i="9"/>
  <c r="J19" i="9"/>
  <c r="K19" i="9"/>
  <c r="L19" i="9"/>
  <c r="I18" i="9"/>
  <c r="J18" i="9"/>
  <c r="K18" i="9"/>
  <c r="L18" i="9"/>
  <c r="I17" i="9"/>
  <c r="J17" i="9"/>
  <c r="K17" i="9"/>
  <c r="L17" i="9"/>
  <c r="I16" i="9"/>
  <c r="J16" i="9"/>
  <c r="K16" i="9"/>
  <c r="L16" i="9"/>
  <c r="I15" i="9"/>
  <c r="J15" i="9"/>
  <c r="K15" i="9"/>
  <c r="L15" i="9"/>
  <c r="I14" i="9"/>
  <c r="J14" i="9"/>
  <c r="K14" i="9"/>
  <c r="L14" i="9"/>
  <c r="I13" i="9"/>
  <c r="J13" i="9"/>
  <c r="K13" i="9"/>
  <c r="L13" i="9"/>
  <c r="I12" i="9"/>
  <c r="J12" i="9"/>
  <c r="K12" i="9"/>
  <c r="L12" i="9"/>
  <c r="I11" i="9"/>
  <c r="J11" i="9"/>
  <c r="K11" i="9"/>
  <c r="L11" i="9"/>
  <c r="G8" i="9"/>
  <c r="I8" i="9"/>
  <c r="J8" i="9"/>
  <c r="K8" i="9"/>
  <c r="L8" i="9"/>
  <c r="G5" i="9"/>
  <c r="J5" i="9"/>
  <c r="K5" i="9"/>
  <c r="L5" i="9"/>
  <c r="G4" i="9"/>
  <c r="J4" i="9"/>
  <c r="K4" i="9"/>
  <c r="L4" i="9"/>
  <c r="G37" i="2"/>
  <c r="G35" i="2"/>
  <c r="G42" i="2"/>
  <c r="G36" i="2"/>
  <c r="G23" i="2"/>
  <c r="G26" i="2"/>
  <c r="G38" i="2"/>
  <c r="G13" i="2"/>
  <c r="G7" i="2"/>
  <c r="L12" i="4"/>
  <c r="L13" i="4"/>
  <c r="L11" i="4"/>
  <c r="L14" i="4"/>
  <c r="L15" i="4"/>
  <c r="L16" i="4"/>
  <c r="L10" i="4"/>
  <c r="L7" i="4"/>
  <c r="I16" i="4"/>
  <c r="I15" i="4"/>
  <c r="I14" i="4"/>
  <c r="I11" i="4"/>
  <c r="I13" i="4"/>
  <c r="I12" i="4"/>
  <c r="I10" i="4"/>
  <c r="I7" i="4"/>
  <c r="I4" i="4"/>
  <c r="I3" i="4"/>
  <c r="K4" i="4"/>
  <c r="L4" i="4"/>
  <c r="M4" i="4"/>
  <c r="N4" i="4"/>
  <c r="K3" i="4"/>
  <c r="L3" i="4"/>
  <c r="M3" i="4"/>
  <c r="N3" i="4"/>
  <c r="K16" i="4"/>
  <c r="M16" i="4"/>
  <c r="N16" i="4"/>
  <c r="K15" i="4"/>
  <c r="M15" i="4"/>
  <c r="N15" i="4"/>
  <c r="K14" i="4"/>
  <c r="M14" i="4"/>
  <c r="N14" i="4"/>
  <c r="K11" i="4"/>
  <c r="M11" i="4"/>
  <c r="N11" i="4"/>
  <c r="K13" i="4"/>
  <c r="M13" i="4"/>
  <c r="N13" i="4"/>
  <c r="K12" i="4"/>
  <c r="M12" i="4"/>
  <c r="N12" i="4"/>
  <c r="K10" i="4"/>
  <c r="M10" i="4"/>
  <c r="N10" i="4"/>
  <c r="K7" i="4"/>
  <c r="M7" i="4"/>
  <c r="N7" i="4"/>
  <c r="I16" i="5"/>
  <c r="L16" i="5"/>
  <c r="F40" i="2"/>
  <c r="I15" i="5"/>
  <c r="L15" i="5"/>
  <c r="F29" i="2"/>
  <c r="I14" i="5"/>
  <c r="L14" i="5"/>
  <c r="F25" i="2"/>
  <c r="I13" i="5"/>
  <c r="L13" i="5"/>
  <c r="F27" i="2"/>
  <c r="I12" i="5"/>
  <c r="L12" i="5"/>
  <c r="F41" i="2"/>
  <c r="C20" i="2"/>
  <c r="D20" i="2"/>
  <c r="D10" i="6"/>
  <c r="F10" i="6"/>
  <c r="H10" i="6"/>
  <c r="J10" i="6"/>
  <c r="N10" i="6"/>
  <c r="S10" i="6"/>
  <c r="X10" i="6"/>
  <c r="Y10" i="6"/>
  <c r="Z10" i="6"/>
  <c r="AA10" i="6"/>
  <c r="T10" i="6"/>
  <c r="U10" i="6"/>
  <c r="V10" i="6"/>
  <c r="E20" i="2"/>
  <c r="I11" i="5"/>
  <c r="L11" i="5"/>
  <c r="F23" i="2"/>
  <c r="I10" i="5"/>
  <c r="L10" i="5"/>
  <c r="F39" i="2"/>
  <c r="I9" i="5"/>
  <c r="L9" i="5"/>
  <c r="F26" i="2"/>
  <c r="I8" i="5"/>
  <c r="L8" i="5"/>
  <c r="F31" i="2"/>
  <c r="F13" i="2"/>
  <c r="D19" i="6"/>
  <c r="F19" i="6"/>
  <c r="H19" i="6"/>
  <c r="J19" i="6"/>
  <c r="N19" i="6"/>
  <c r="D13" i="6"/>
  <c r="F13" i="6"/>
  <c r="H13" i="6"/>
  <c r="J13" i="6"/>
  <c r="N13" i="6"/>
  <c r="D14" i="6"/>
  <c r="F14" i="6"/>
  <c r="H14" i="6"/>
  <c r="J14" i="6"/>
  <c r="N14" i="6"/>
  <c r="D15" i="6"/>
  <c r="F15" i="6"/>
  <c r="H15" i="6"/>
  <c r="J15" i="6"/>
  <c r="N15" i="6"/>
  <c r="D16" i="6"/>
  <c r="F16" i="6"/>
  <c r="H16" i="6"/>
  <c r="J16" i="6"/>
  <c r="N16" i="6"/>
  <c r="D17" i="6"/>
  <c r="F17" i="6"/>
  <c r="H17" i="6"/>
  <c r="J17" i="6"/>
  <c r="N17" i="6"/>
  <c r="D18" i="6"/>
  <c r="F18" i="6"/>
  <c r="H18" i="6"/>
  <c r="J18" i="6"/>
  <c r="N18" i="6"/>
  <c r="S19" i="6"/>
  <c r="X19" i="6"/>
  <c r="Y19" i="6"/>
  <c r="Z19" i="6"/>
  <c r="AA19" i="6"/>
  <c r="T19" i="6"/>
  <c r="U19" i="6"/>
  <c r="V19" i="6"/>
  <c r="E29" i="2"/>
  <c r="S18" i="6"/>
  <c r="X18" i="6"/>
  <c r="Y18" i="6"/>
  <c r="Z18" i="6"/>
  <c r="AA18" i="6"/>
  <c r="T18" i="6"/>
  <c r="U18" i="6"/>
  <c r="V18" i="6"/>
  <c r="E27" i="2"/>
  <c r="S17" i="6"/>
  <c r="X17" i="6"/>
  <c r="Y17" i="6"/>
  <c r="Z17" i="6"/>
  <c r="AA17" i="6"/>
  <c r="T17" i="6"/>
  <c r="U17" i="6"/>
  <c r="V17" i="6"/>
  <c r="E42" i="2"/>
  <c r="S16" i="6"/>
  <c r="X16" i="6"/>
  <c r="Y16" i="6"/>
  <c r="Z16" i="6"/>
  <c r="AA16" i="6"/>
  <c r="T16" i="6"/>
  <c r="U16" i="6"/>
  <c r="V16" i="6"/>
  <c r="E25" i="2"/>
  <c r="S15" i="6"/>
  <c r="X15" i="6"/>
  <c r="Y15" i="6"/>
  <c r="Z15" i="6"/>
  <c r="AA15" i="6"/>
  <c r="T15" i="6"/>
  <c r="U15" i="6"/>
  <c r="V15" i="6"/>
  <c r="E32" i="2"/>
  <c r="S14" i="6"/>
  <c r="X14" i="6"/>
  <c r="Y14" i="6"/>
  <c r="Z14" i="6"/>
  <c r="AA14" i="6"/>
  <c r="T14" i="6"/>
  <c r="U14" i="6"/>
  <c r="V14" i="6"/>
  <c r="E23" i="2"/>
  <c r="S13" i="6"/>
  <c r="X13" i="6"/>
  <c r="Y13" i="6"/>
  <c r="Z13" i="6"/>
  <c r="AA13" i="6"/>
  <c r="T13" i="6"/>
  <c r="U13" i="6"/>
  <c r="V13" i="6"/>
  <c r="E34" i="2"/>
  <c r="D7" i="6"/>
  <c r="F7" i="6"/>
  <c r="H7" i="6"/>
  <c r="J7" i="6"/>
  <c r="N7" i="6"/>
  <c r="S7" i="6"/>
  <c r="X7" i="6"/>
  <c r="Y7" i="6"/>
  <c r="Z7" i="6"/>
  <c r="AA7" i="6"/>
  <c r="T7" i="6"/>
  <c r="U7" i="6"/>
  <c r="V7" i="6"/>
  <c r="E13" i="2"/>
  <c r="H4" i="6"/>
  <c r="J4" i="6"/>
  <c r="N4" i="6"/>
  <c r="S4" i="6"/>
  <c r="X4" i="6"/>
  <c r="Y4" i="6"/>
  <c r="Z4" i="6"/>
  <c r="AA4" i="6"/>
  <c r="T4" i="6"/>
  <c r="U4" i="6"/>
  <c r="V4" i="6"/>
  <c r="E7" i="2"/>
  <c r="D40" i="2"/>
  <c r="D28" i="2"/>
  <c r="D25" i="2"/>
  <c r="D32" i="2"/>
  <c r="D23" i="2"/>
  <c r="D34" i="2"/>
  <c r="D33" i="2"/>
  <c r="D26" i="2"/>
  <c r="D38" i="2"/>
  <c r="D30" i="2"/>
  <c r="I8" i="3"/>
  <c r="L8" i="3"/>
  <c r="I7" i="3"/>
  <c r="L7" i="3"/>
  <c r="I6" i="3"/>
  <c r="L6" i="3"/>
  <c r="D13" i="2"/>
  <c r="I3" i="3"/>
  <c r="K3" i="3"/>
  <c r="L3" i="3"/>
  <c r="D7" i="2"/>
  <c r="C43" i="2"/>
  <c r="C24" i="2"/>
  <c r="C30" i="2"/>
  <c r="C34" i="2"/>
  <c r="C41" i="2"/>
  <c r="C23" i="2"/>
  <c r="C32" i="2"/>
  <c r="C27" i="2"/>
  <c r="C25" i="2"/>
  <c r="C29" i="2"/>
  <c r="C13" i="2"/>
  <c r="G4" i="5"/>
  <c r="G3" i="5"/>
  <c r="G5" i="5"/>
  <c r="I4" i="5"/>
  <c r="J4" i="5"/>
  <c r="K4" i="5"/>
  <c r="L4" i="5"/>
  <c r="I5" i="5"/>
  <c r="J5" i="5"/>
  <c r="K5" i="5"/>
  <c r="L5" i="5"/>
  <c r="G8" i="5"/>
  <c r="G9" i="5"/>
  <c r="G10" i="5"/>
  <c r="G11" i="5"/>
  <c r="G12" i="5"/>
  <c r="G13" i="5"/>
  <c r="G14" i="5"/>
  <c r="G15" i="5"/>
  <c r="G16" i="5"/>
  <c r="J16" i="5"/>
  <c r="K16" i="5"/>
  <c r="J15" i="5"/>
  <c r="K15" i="5"/>
  <c r="J14" i="5"/>
  <c r="K14" i="5"/>
  <c r="J13" i="5"/>
  <c r="K13" i="5"/>
  <c r="J12" i="5"/>
  <c r="K12" i="5"/>
  <c r="J11" i="5"/>
  <c r="K11" i="5"/>
  <c r="J10" i="5"/>
  <c r="K10" i="5"/>
  <c r="J9" i="5"/>
  <c r="K9" i="5"/>
  <c r="J8" i="5"/>
  <c r="K8" i="5"/>
  <c r="I3" i="5"/>
  <c r="J3" i="5"/>
  <c r="K3" i="5"/>
  <c r="L3" i="5"/>
  <c r="D23" i="6"/>
  <c r="F23" i="6"/>
  <c r="H23" i="6"/>
  <c r="J23" i="6"/>
  <c r="N23" i="6"/>
  <c r="D22" i="6"/>
  <c r="F22" i="6"/>
  <c r="H22" i="6"/>
  <c r="J22" i="6"/>
  <c r="N22" i="6"/>
  <c r="D24" i="6"/>
  <c r="F24" i="6"/>
  <c r="H24" i="6"/>
  <c r="J24" i="6"/>
  <c r="N24" i="6"/>
  <c r="D25" i="6"/>
  <c r="F25" i="6"/>
  <c r="H25" i="6"/>
  <c r="J25" i="6"/>
  <c r="N25" i="6"/>
  <c r="D26" i="6"/>
  <c r="F26" i="6"/>
  <c r="H26" i="6"/>
  <c r="J26" i="6"/>
  <c r="N26" i="6"/>
  <c r="O23" i="6"/>
  <c r="L23" i="6"/>
  <c r="P23" i="6"/>
  <c r="Q23" i="6"/>
  <c r="O22" i="6"/>
  <c r="L22" i="6"/>
  <c r="P22" i="6"/>
  <c r="Q22" i="6"/>
  <c r="O24" i="6"/>
  <c r="L24" i="6"/>
  <c r="P24" i="6"/>
  <c r="Q24" i="6"/>
  <c r="O25" i="6"/>
  <c r="L25" i="6"/>
  <c r="P25" i="6"/>
  <c r="Q25" i="6"/>
  <c r="O26" i="6"/>
  <c r="L26" i="6"/>
  <c r="P26" i="6"/>
  <c r="Q26" i="6"/>
  <c r="I23" i="3"/>
  <c r="J23" i="3"/>
  <c r="K23" i="3"/>
  <c r="L23" i="3"/>
  <c r="G23" i="3"/>
  <c r="G6" i="3"/>
  <c r="G3" i="3"/>
  <c r="J6" i="3"/>
  <c r="K6" i="3"/>
  <c r="G7" i="3"/>
  <c r="J7" i="3"/>
  <c r="K7" i="3"/>
  <c r="G8" i="3"/>
  <c r="J8" i="3"/>
  <c r="K8" i="3"/>
  <c r="G22" i="3"/>
  <c r="G14" i="3"/>
  <c r="G15" i="3"/>
  <c r="G16" i="3"/>
  <c r="G17" i="3"/>
  <c r="G18" i="3"/>
  <c r="G19" i="3"/>
  <c r="G20" i="3"/>
  <c r="G21" i="3"/>
  <c r="I22" i="3"/>
  <c r="J22" i="3"/>
  <c r="K22" i="3"/>
  <c r="L22" i="3"/>
  <c r="I21" i="3"/>
  <c r="J21" i="3"/>
  <c r="K21" i="3"/>
  <c r="L21" i="3"/>
  <c r="I20" i="3"/>
  <c r="J20" i="3"/>
  <c r="K20" i="3"/>
  <c r="L20" i="3"/>
  <c r="I19" i="3"/>
  <c r="J19" i="3"/>
  <c r="K19" i="3"/>
  <c r="L19" i="3"/>
  <c r="I18" i="3"/>
  <c r="J18" i="3"/>
  <c r="K18" i="3"/>
  <c r="L18" i="3"/>
  <c r="I17" i="3"/>
  <c r="J17" i="3"/>
  <c r="K17" i="3"/>
  <c r="L17" i="3"/>
  <c r="I16" i="3"/>
  <c r="J16" i="3"/>
  <c r="K16" i="3"/>
  <c r="L16" i="3"/>
  <c r="I15" i="3"/>
  <c r="J15" i="3"/>
  <c r="K15" i="3"/>
  <c r="L15" i="3"/>
  <c r="I14" i="3"/>
  <c r="J14" i="3"/>
  <c r="K14" i="3"/>
  <c r="L14" i="3"/>
  <c r="G11" i="3"/>
  <c r="I11" i="3"/>
  <c r="J11" i="3"/>
  <c r="K11" i="3"/>
  <c r="L11" i="3"/>
  <c r="G4" i="1"/>
  <c r="G7" i="1"/>
  <c r="G10" i="1"/>
  <c r="G11" i="1"/>
  <c r="G12" i="1"/>
  <c r="G13" i="1"/>
  <c r="G14" i="1"/>
  <c r="G15" i="1"/>
  <c r="G16" i="1"/>
  <c r="G17" i="1"/>
  <c r="G18" i="1"/>
  <c r="G19" i="1"/>
  <c r="G3" i="1"/>
  <c r="I19" i="1"/>
  <c r="J19" i="1"/>
  <c r="K19" i="1"/>
  <c r="L19" i="1"/>
  <c r="I10" i="1"/>
  <c r="J10" i="1"/>
  <c r="K10" i="1"/>
  <c r="L10" i="1"/>
  <c r="I11" i="1"/>
  <c r="J11" i="1"/>
  <c r="K11" i="1"/>
  <c r="L11" i="1"/>
  <c r="I12" i="1"/>
  <c r="J12" i="1"/>
  <c r="K12" i="1"/>
  <c r="L12" i="1"/>
  <c r="I13" i="1"/>
  <c r="J13" i="1"/>
  <c r="K13" i="1"/>
  <c r="L13" i="1"/>
  <c r="I14" i="1"/>
  <c r="J14" i="1"/>
  <c r="K14" i="1"/>
  <c r="L14" i="1"/>
  <c r="I15" i="1"/>
  <c r="J15" i="1"/>
  <c r="K15" i="1"/>
  <c r="L15" i="1"/>
  <c r="I16" i="1"/>
  <c r="J16" i="1"/>
  <c r="K16" i="1"/>
  <c r="L16" i="1"/>
  <c r="I17" i="1"/>
  <c r="J17" i="1"/>
  <c r="K17" i="1"/>
  <c r="L17" i="1"/>
  <c r="I18" i="1"/>
  <c r="J18" i="1"/>
  <c r="K18" i="1"/>
  <c r="L18" i="1"/>
  <c r="O46" i="2"/>
  <c r="O45" i="2"/>
  <c r="O35" i="2"/>
  <c r="O44" i="2"/>
  <c r="O28" i="2"/>
  <c r="O36" i="2"/>
  <c r="O48" i="2"/>
  <c r="O26" i="2"/>
  <c r="O31" i="2"/>
  <c r="O40" i="2"/>
  <c r="O37" i="2"/>
  <c r="O23" i="2"/>
  <c r="O38" i="2"/>
  <c r="O29" i="2"/>
  <c r="O39" i="2"/>
  <c r="O41" i="2"/>
  <c r="O30" i="2"/>
  <c r="O25" i="2"/>
  <c r="O33" i="2"/>
  <c r="O42" i="2"/>
  <c r="O27" i="2"/>
  <c r="O34" i="2"/>
  <c r="O32" i="2"/>
  <c r="O43" i="2"/>
  <c r="O24" i="2"/>
  <c r="AA13" i="15"/>
  <c r="AB13" i="15"/>
  <c r="AC13" i="15"/>
  <c r="AD13" i="15"/>
  <c r="AE13" i="15"/>
  <c r="D10" i="15"/>
  <c r="U10" i="15"/>
  <c r="F10" i="15"/>
  <c r="V10" i="15"/>
  <c r="H10" i="15"/>
  <c r="W10" i="15"/>
  <c r="J10" i="15"/>
  <c r="X10" i="15"/>
  <c r="Y10" i="15"/>
  <c r="O20" i="2"/>
  <c r="I7" i="1"/>
  <c r="J7" i="1"/>
  <c r="K7" i="1"/>
  <c r="L7" i="1"/>
  <c r="AA10" i="15"/>
  <c r="AB10" i="15"/>
  <c r="AC10" i="15"/>
  <c r="AD10" i="15"/>
  <c r="AE10" i="15"/>
  <c r="R10" i="15"/>
  <c r="S10" i="15"/>
  <c r="I3" i="1"/>
  <c r="J3" i="1"/>
  <c r="K3" i="1"/>
  <c r="L3" i="1"/>
  <c r="I4" i="1"/>
  <c r="J4" i="1"/>
  <c r="K4" i="1"/>
  <c r="L4" i="1"/>
  <c r="O13" i="2"/>
  <c r="AA7" i="15"/>
  <c r="AB7" i="15"/>
  <c r="AC7" i="15"/>
  <c r="AD7" i="15"/>
  <c r="AE7" i="15"/>
  <c r="O7" i="2"/>
  <c r="D3" i="15"/>
  <c r="U3" i="15"/>
  <c r="F3" i="15"/>
  <c r="V3" i="15"/>
  <c r="H3" i="15"/>
  <c r="W3" i="15"/>
  <c r="J3" i="15"/>
  <c r="X3" i="15"/>
  <c r="L3" i="15"/>
  <c r="Y3" i="15"/>
  <c r="AA3" i="15"/>
  <c r="AB3" i="15"/>
  <c r="AC3" i="15"/>
  <c r="AD3" i="15"/>
  <c r="AE3" i="15"/>
  <c r="R3" i="15"/>
  <c r="S3" i="15"/>
  <c r="D4" i="15"/>
  <c r="U4" i="15"/>
  <c r="F4" i="15"/>
  <c r="V4" i="15"/>
  <c r="H4" i="15"/>
  <c r="W4" i="15"/>
  <c r="J4" i="15"/>
  <c r="X4" i="15"/>
  <c r="L4" i="15"/>
  <c r="Y4" i="15"/>
  <c r="AA4" i="15"/>
  <c r="AB4" i="15"/>
  <c r="AC4" i="15"/>
  <c r="AD4" i="15"/>
  <c r="AE4" i="15"/>
  <c r="R4" i="15"/>
  <c r="S4" i="15"/>
  <c r="D7" i="15"/>
  <c r="U7" i="15"/>
  <c r="F7" i="15"/>
  <c r="V7" i="15"/>
  <c r="H7" i="15"/>
  <c r="W7" i="15"/>
  <c r="J7" i="15"/>
  <c r="X7" i="15"/>
  <c r="Y7" i="15"/>
  <c r="R13" i="15"/>
  <c r="S13" i="15"/>
  <c r="P7" i="15"/>
  <c r="R7" i="15"/>
  <c r="S7" i="15"/>
  <c r="I16" i="7"/>
  <c r="I15" i="7"/>
  <c r="I10" i="7"/>
  <c r="I14" i="7"/>
  <c r="I9" i="7"/>
  <c r="I17" i="7"/>
  <c r="I12" i="7"/>
  <c r="I7" i="7"/>
  <c r="I6" i="7"/>
  <c r="I11" i="7"/>
  <c r="I8" i="7"/>
  <c r="I13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<sst xmlns="http://schemas.openxmlformats.org/spreadsheetml/2006/main" count="420" uniqueCount="94">
  <si>
    <t>Clubman</t>
  </si>
  <si>
    <t>Brian Bates</t>
  </si>
  <si>
    <t>Total</t>
  </si>
  <si>
    <t>Intermediate</t>
  </si>
  <si>
    <t>Mike Pole</t>
  </si>
  <si>
    <t>Graham Gooch</t>
  </si>
  <si>
    <t>Masters</t>
  </si>
  <si>
    <t>Phil Lewis</t>
  </si>
  <si>
    <t>Chris Bond</t>
  </si>
  <si>
    <t>FAI</t>
  </si>
  <si>
    <t>Keith Jackson</t>
  </si>
  <si>
    <t>Brandon Ransley</t>
  </si>
  <si>
    <t>Dan Workman</t>
  </si>
  <si>
    <t>Steve Burgess</t>
  </si>
  <si>
    <t>Jim Fallowfield</t>
  </si>
  <si>
    <t>George Drever</t>
  </si>
  <si>
    <t>Adrian Harrison</t>
  </si>
  <si>
    <t>Ross Donovan</t>
  </si>
  <si>
    <t>Flight 1</t>
  </si>
  <si>
    <t>Flight 2</t>
  </si>
  <si>
    <t>Flight 3</t>
  </si>
  <si>
    <t>Raw</t>
  </si>
  <si>
    <t>Normalised</t>
  </si>
  <si>
    <t>Nigel Ashworth</t>
  </si>
  <si>
    <t>Javad Aghababazadeh</t>
  </si>
  <si>
    <t>Ken Moss</t>
  </si>
  <si>
    <t>Hurley</t>
  </si>
  <si>
    <t>Buckminster</t>
  </si>
  <si>
    <t>Peter Madden</t>
  </si>
  <si>
    <t>Garry Peacock</t>
  </si>
  <si>
    <t>Mark Allen</t>
  </si>
  <si>
    <t>Eugene Anker</t>
  </si>
  <si>
    <t>Mike Wood</t>
  </si>
  <si>
    <t>Peter Jenkins</t>
  </si>
  <si>
    <t>Knettishall</t>
  </si>
  <si>
    <t>Malcolm Harris</t>
  </si>
  <si>
    <t>Skelbrooke</t>
  </si>
  <si>
    <t>Flight 4</t>
  </si>
  <si>
    <t>Flight 5</t>
  </si>
  <si>
    <t>FAI P Only</t>
  </si>
  <si>
    <t>FAI P, F &amp; Unknown</t>
  </si>
  <si>
    <t>Thomas David</t>
  </si>
  <si>
    <t>Malcolm Balfour</t>
  </si>
  <si>
    <t>Kevin Caton</t>
  </si>
  <si>
    <t>Championships</t>
  </si>
  <si>
    <t>League Bonus Points</t>
  </si>
  <si>
    <t>World Cup</t>
  </si>
  <si>
    <t>2nd Centralised</t>
  </si>
  <si>
    <t>3rd Centralised</t>
  </si>
  <si>
    <t>Nationals</t>
  </si>
  <si>
    <t>1st Centralised</t>
  </si>
  <si>
    <t>Ashford</t>
  </si>
  <si>
    <t>Total League Points</t>
  </si>
  <si>
    <t>Percentage of Max</t>
  </si>
  <si>
    <t>Position Points</t>
  </si>
  <si>
    <t>BMFA League Score</t>
  </si>
  <si>
    <t>Best Five</t>
  </si>
  <si>
    <t>Adrian Mansell</t>
  </si>
  <si>
    <t>Leicester</t>
  </si>
  <si>
    <t>Mansfield</t>
  </si>
  <si>
    <t>Matt Hoyland</t>
  </si>
  <si>
    <t>Bonus Point Allocation</t>
  </si>
  <si>
    <t>Score</t>
  </si>
  <si>
    <t>Points</t>
  </si>
  <si>
    <t>Baldock</t>
  </si>
  <si>
    <t>Keith Brightman</t>
  </si>
  <si>
    <t>Pete Madden</t>
  </si>
  <si>
    <t>Brian Ball</t>
  </si>
  <si>
    <t>Javad Aghababzadeh</t>
  </si>
  <si>
    <t>Steve Plummer</t>
  </si>
  <si>
    <t>Preliminary</t>
  </si>
  <si>
    <t>Final</t>
  </si>
  <si>
    <t>Re-Normalised Preliminary</t>
  </si>
  <si>
    <t>Bob Rowland</t>
  </si>
  <si>
    <t>Ashbourne</t>
  </si>
  <si>
    <t>Colmworth</t>
  </si>
  <si>
    <t>Matt Dawson</t>
  </si>
  <si>
    <t>Brian Seymour</t>
  </si>
  <si>
    <t>Matthew Deutschmann</t>
  </si>
  <si>
    <t>Normalised Total</t>
  </si>
  <si>
    <t>FAI P &amp; F</t>
  </si>
  <si>
    <t>Mick Broad</t>
  </si>
  <si>
    <t>John Morton</t>
  </si>
  <si>
    <t>Simon Clark</t>
  </si>
  <si>
    <t>David Balfour</t>
  </si>
  <si>
    <t>Steve Underwood</t>
  </si>
  <si>
    <t>Brian Hoare</t>
  </si>
  <si>
    <t>Steve Smithey</t>
  </si>
  <si>
    <t>Flight 1 (P)</t>
  </si>
  <si>
    <t>Flight 2 (P)</t>
  </si>
  <si>
    <t>Flight 4 (P)</t>
  </si>
  <si>
    <t>Flight 3 (F)</t>
  </si>
  <si>
    <t>Flight 5 (F)</t>
  </si>
  <si>
    <t>Cancelled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</si>
</sst>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Sans-serif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9">
    <xf numFmtId="0" fontId="0" fillId="0" borderId="0" xfId="0"/>
    <xf numFmtId="2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2" fontId="1" fillId="0" borderId="0" xfId="0" applyNumberFormat="1" applyFont="1"/>
    <xf numFmtId="1" fontId="0" fillId="0" borderId="0" xfId="0" applyNumberFormat="1"/>
    <xf numFmtId="1" fontId="1" fillId="0" borderId="0" xfId="0" applyNumberFormat="1" applyFont="1"/>
    <xf numFmtId="2" fontId="0" fillId="0" borderId="0" xfId="1" applyNumberFormat="1" applyFont="1"/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indent="2"/>
    </xf>
    <xf numFmtId="14" fontId="1" fillId="0" borderId="0" xfId="0" applyNumberFormat="1" applyFont="1" applyAlignment="1">
      <alignment horizontal="center"/>
    </xf>
    <xf numFmtId="2" fontId="1" fillId="0" borderId="0" xfId="1" applyNumberFormat="1" applyFont="1"/>
    <xf numFmtId="14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center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kevincaton/Library/Containers/com.apple.mail/Data/Library/Mail%20Downloads/AD8F99D4-1E96-4C63-949C-17851EF88FB0/PL%20checking%20version%20of%20GBRCAA%20League%20Tables%202023.xlsx" TargetMode="External"/><Relationship Id="rId1" Type="http://schemas.openxmlformats.org/officeDocument/2006/relationships/externalLinkPath" Target="/Users/kevincaton/Library/Containers/com.apple.mail/Data/Library/Mail%20Downloads/AD8F99D4-1E96-4C63-949C-17851EF88FB0/PL%20checking%20version%20of%20GBRCAA%20League%20Tables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urley 16th April 2023"/>
      <sheetName val="Buckminster 30th April 2023"/>
      <sheetName val="Championships 14th May 2023"/>
      <sheetName val="Skelbrooke 21st May 2023"/>
      <sheetName val="Knettishall 3rd June 2023"/>
      <sheetName val="Ashbourne 18th June 2023"/>
      <sheetName val="Colmworth 2nd July 2023"/>
      <sheetName val="Baldock 13th August 2023"/>
      <sheetName val="Ashbourne 20th August 2023"/>
      <sheetName val="GBRCAA National League"/>
      <sheetName val="Knettishall 16th September 2023"/>
      <sheetName val="Leicester 24th September 2023"/>
      <sheetName val="Nationals 1st October 2023"/>
      <sheetName val="BMFA League"/>
      <sheetName val="Bonus Poi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9">
          <cell r="N9">
            <v>23.810000000000002</v>
          </cell>
        </row>
      </sheetData>
      <sheetData sheetId="11" refreshError="1"/>
      <sheetData sheetId="12" refreshError="1"/>
      <sheetData sheetId="13" refreshError="1"/>
      <sheetData sheetId="14">
        <row r="3">
          <cell r="A3">
            <v>0</v>
          </cell>
          <cell r="B3">
            <v>2</v>
          </cell>
        </row>
        <row r="4">
          <cell r="A4">
            <v>40.000999999999998</v>
          </cell>
          <cell r="B4">
            <v>4</v>
          </cell>
        </row>
        <row r="5">
          <cell r="A5">
            <v>42.500999999999998</v>
          </cell>
          <cell r="B5">
            <v>5</v>
          </cell>
        </row>
        <row r="6">
          <cell r="A6">
            <v>45.000999999999998</v>
          </cell>
          <cell r="B6">
            <v>6</v>
          </cell>
        </row>
        <row r="7">
          <cell r="A7">
            <v>47.500999999999998</v>
          </cell>
          <cell r="B7">
            <v>7</v>
          </cell>
        </row>
        <row r="8">
          <cell r="A8">
            <v>50.000999999999998</v>
          </cell>
          <cell r="B8">
            <v>8</v>
          </cell>
        </row>
        <row r="9">
          <cell r="A9">
            <v>52.500999999999998</v>
          </cell>
          <cell r="B9">
            <v>9</v>
          </cell>
        </row>
        <row r="10">
          <cell r="A10">
            <v>55.000999999999998</v>
          </cell>
          <cell r="B10">
            <v>10</v>
          </cell>
        </row>
        <row r="11">
          <cell r="A11">
            <v>57.500999999999998</v>
          </cell>
          <cell r="B11">
            <v>11</v>
          </cell>
        </row>
        <row r="12">
          <cell r="A12">
            <v>60.000999999999998</v>
          </cell>
          <cell r="B12">
            <v>12</v>
          </cell>
        </row>
        <row r="13">
          <cell r="A13">
            <v>62.500999999999998</v>
          </cell>
          <cell r="B13">
            <v>13</v>
          </cell>
        </row>
        <row r="14">
          <cell r="A14">
            <v>65.001000000000005</v>
          </cell>
          <cell r="B14">
            <v>14</v>
          </cell>
        </row>
        <row r="15">
          <cell r="A15">
            <v>67.501000000000005</v>
          </cell>
          <cell r="B15">
            <v>15</v>
          </cell>
        </row>
        <row r="16">
          <cell r="A16">
            <v>70.001000000000005</v>
          </cell>
          <cell r="B16">
            <v>16</v>
          </cell>
        </row>
        <row r="17">
          <cell r="A17">
            <v>72.501000000000005</v>
          </cell>
          <cell r="B17">
            <v>17</v>
          </cell>
        </row>
        <row r="18">
          <cell r="A18">
            <v>75.001000000000005</v>
          </cell>
          <cell r="B18">
            <v>18</v>
          </cell>
        </row>
        <row r="19">
          <cell r="A19">
            <v>77.501000000000005</v>
          </cell>
          <cell r="B19">
            <v>19</v>
          </cell>
        </row>
        <row r="20">
          <cell r="A20">
            <v>80.001000000000005</v>
          </cell>
          <cell r="B20">
            <v>20</v>
          </cell>
        </row>
        <row r="21">
          <cell r="A21">
            <v>100</v>
          </cell>
          <cell r="B21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F93E9-FB10-384C-8A33-F67C1393BABD}">
  <dimension ref="A1:L20"/>
  <sheetViews>
    <sheetView workbookViewId="0">
      <selection activeCell="J10" sqref="J10"/>
    </sheetView>
  </sheetViews>
  <sheetFormatPr baseColWidth="10" defaultRowHeight="16"/>
  <cols>
    <col min="1" max="1" width="11.83203125" style="2" bestFit="1" customWidth="1"/>
    <col min="2" max="2" width="18.33203125" style="2" bestFit="1" customWidth="1"/>
    <col min="3" max="8" width="10.83203125" style="2"/>
    <col min="9" max="9" width="13.1640625" style="2" bestFit="1" customWidth="1"/>
    <col min="10" max="10" width="16.6640625" style="2" bestFit="1" customWidth="1"/>
    <col min="11" max="11" width="18.1640625" style="2" bestFit="1" customWidth="1"/>
    <col min="12" max="12" width="17.33203125" style="2" bestFit="1" customWidth="1"/>
    <col min="13" max="16384" width="10.83203125" style="2"/>
  </cols>
  <sheetData>
    <row r="1" spans="1:12">
      <c r="C1" s="2" t="s">
        <v>18</v>
      </c>
      <c r="D1" s="2" t="s">
        <v>19</v>
      </c>
      <c r="E1" s="2" t="s">
        <v>20</v>
      </c>
      <c r="G1" s="2" t="s">
        <v>2</v>
      </c>
      <c r="I1" s="2" t="s">
        <v>54</v>
      </c>
      <c r="J1" s="2" t="s">
        <v>53</v>
      </c>
      <c r="K1" s="2" t="s">
        <v>45</v>
      </c>
      <c r="L1" s="2" t="s">
        <v>52</v>
      </c>
    </row>
    <row r="2" spans="1:12">
      <c r="A2" s="2" t="s">
        <v>3</v>
      </c>
    </row>
    <row r="3" spans="1:12">
      <c r="B3" s="2" t="s">
        <v>5</v>
      </c>
      <c r="C3" s="4">
        <v>240.25</v>
      </c>
      <c r="D3" s="4">
        <v>246.5</v>
      </c>
      <c r="E3" s="4">
        <v>236.25</v>
      </c>
      <c r="F3" s="4"/>
      <c r="G3" s="4">
        <f>C3+D3+E3-MIN(C3,D3,E3)</f>
        <v>486.75</v>
      </c>
      <c r="I3" s="4">
        <f>ROUND(10*G3/MAX(G$3:G$4),2)</f>
        <v>10</v>
      </c>
      <c r="J3" s="16">
        <f>100*((C3+D3+E3)-MIN(C3,D3,E3))/800</f>
        <v>60.84375</v>
      </c>
      <c r="K3" s="6">
        <f>IFERROR(VLOOKUP(J3,'Bonus Points'!$A$3:$B$21,2),0)</f>
        <v>12</v>
      </c>
      <c r="L3" s="4">
        <f t="shared" ref="L3:L4" si="0">I3+K3</f>
        <v>22</v>
      </c>
    </row>
    <row r="4" spans="1:12">
      <c r="B4" s="2" t="s">
        <v>1</v>
      </c>
      <c r="C4" s="4">
        <v>195.5</v>
      </c>
      <c r="D4" s="4">
        <v>211.75</v>
      </c>
      <c r="E4" s="4">
        <v>221.5</v>
      </c>
      <c r="F4" s="4"/>
      <c r="G4" s="4">
        <f>C4+D4+E4-MIN(C4,D4,E4)</f>
        <v>433.25</v>
      </c>
      <c r="I4" s="4">
        <f>ROUND(10*G4/MAX(G$3:G$4),2)</f>
        <v>8.9</v>
      </c>
      <c r="J4" s="16">
        <f>100*((C4+D4+E4)-MIN(C4,D4,E4))/800</f>
        <v>54.15625</v>
      </c>
      <c r="K4" s="6">
        <f>IFERROR(VLOOKUP(J4,'Bonus Points'!$A$3:$B$21,2),0)</f>
        <v>9</v>
      </c>
      <c r="L4" s="4">
        <f t="shared" si="0"/>
        <v>17.899999999999999</v>
      </c>
    </row>
    <row r="5" spans="1:12">
      <c r="G5" s="4"/>
    </row>
    <row r="6" spans="1:12">
      <c r="A6" s="2" t="s">
        <v>6</v>
      </c>
      <c r="G6" s="4"/>
    </row>
    <row r="7" spans="1:12">
      <c r="B7" s="2" t="s">
        <v>7</v>
      </c>
      <c r="C7" s="4">
        <v>338</v>
      </c>
      <c r="D7" s="4">
        <v>290</v>
      </c>
      <c r="E7" s="4">
        <v>318.5</v>
      </c>
      <c r="F7" s="4"/>
      <c r="G7" s="4">
        <f>C7+D7+E7-MIN(C7,D7,E7)</f>
        <v>656.5</v>
      </c>
      <c r="I7" s="4">
        <f>ROUND(10*G7/MAX(G$7:G$7),2)</f>
        <v>10</v>
      </c>
      <c r="J7" s="16">
        <f>100*((C7+D7+E7)-MIN(C7,D7,E7))/1060</f>
        <v>61.933962264150942</v>
      </c>
      <c r="K7" s="6">
        <f>IFERROR(VLOOKUP(J7,'Bonus Points'!$A$3:$B$21,2),0)</f>
        <v>12</v>
      </c>
      <c r="L7" s="4">
        <f t="shared" ref="L7" si="1">I7+K7</f>
        <v>22</v>
      </c>
    </row>
    <row r="8" spans="1:12">
      <c r="G8" s="4"/>
    </row>
    <row r="9" spans="1:12">
      <c r="A9" s="2" t="s">
        <v>9</v>
      </c>
      <c r="G9" s="4"/>
    </row>
    <row r="10" spans="1:12">
      <c r="B10" s="2" t="s">
        <v>41</v>
      </c>
      <c r="C10" s="4">
        <v>460.25</v>
      </c>
      <c r="D10" s="4">
        <v>474</v>
      </c>
      <c r="E10" s="4">
        <v>480</v>
      </c>
      <c r="F10" s="4"/>
      <c r="G10" s="4">
        <f t="shared" ref="G10:G19" si="2">C10+D10+E10-MIN(C10,D10,E10)</f>
        <v>954</v>
      </c>
      <c r="I10" s="4">
        <f>ROUND(10*G10/MAX(G$10:G$19),2)</f>
        <v>10</v>
      </c>
      <c r="J10" s="16">
        <f t="shared" ref="J10:J19" si="3">100*((C10+D10+E10)-MIN(C10,D10,E10))/1200</f>
        <v>79.5</v>
      </c>
      <c r="K10" s="6">
        <f>IFERROR(VLOOKUP(J10,'Bonus Points'!$A$3:$B$21,2),0)</f>
        <v>19</v>
      </c>
      <c r="L10" s="4">
        <f t="shared" ref="L10:L19" si="4">I10+K10</f>
        <v>29</v>
      </c>
    </row>
    <row r="11" spans="1:12">
      <c r="B11" s="2" t="s">
        <v>10</v>
      </c>
      <c r="C11" s="4">
        <v>461</v>
      </c>
      <c r="D11" s="4">
        <v>452</v>
      </c>
      <c r="E11" s="4">
        <v>463.75</v>
      </c>
      <c r="F11" s="4"/>
      <c r="G11" s="4">
        <f t="shared" si="2"/>
        <v>924.75</v>
      </c>
      <c r="I11" s="4">
        <f t="shared" ref="I11:I19" si="5">ROUND(10*G11/MAX(G$10:G$19),2)</f>
        <v>9.69</v>
      </c>
      <c r="J11" s="16">
        <f t="shared" si="3"/>
        <v>77.0625</v>
      </c>
      <c r="K11" s="6">
        <f>IFERROR(VLOOKUP(J11,'Bonus Points'!$A$3:$B$21,2),0)</f>
        <v>18</v>
      </c>
      <c r="L11" s="4">
        <f t="shared" si="4"/>
        <v>27.689999999999998</v>
      </c>
    </row>
    <row r="12" spans="1:12">
      <c r="B12" s="2" t="s">
        <v>11</v>
      </c>
      <c r="C12" s="4">
        <v>444.5</v>
      </c>
      <c r="D12" s="4">
        <v>449.25</v>
      </c>
      <c r="E12" s="4">
        <v>460</v>
      </c>
      <c r="F12" s="4"/>
      <c r="G12" s="4">
        <f t="shared" si="2"/>
        <v>909.25</v>
      </c>
      <c r="I12" s="4">
        <f t="shared" si="5"/>
        <v>9.5299999999999994</v>
      </c>
      <c r="J12" s="16">
        <f t="shared" si="3"/>
        <v>75.770833333333329</v>
      </c>
      <c r="K12" s="6">
        <f>IFERROR(VLOOKUP(J12,'Bonus Points'!$A$3:$B$21,2),0)</f>
        <v>18</v>
      </c>
      <c r="L12" s="4">
        <f t="shared" si="4"/>
        <v>27.53</v>
      </c>
    </row>
    <row r="13" spans="1:12">
      <c r="B13" s="2" t="s">
        <v>68</v>
      </c>
      <c r="C13" s="4">
        <v>408.5</v>
      </c>
      <c r="D13" s="4">
        <v>378.25</v>
      </c>
      <c r="E13" s="4">
        <v>420.5</v>
      </c>
      <c r="F13" s="4"/>
      <c r="G13" s="4">
        <f t="shared" si="2"/>
        <v>829</v>
      </c>
      <c r="I13" s="4">
        <f t="shared" si="5"/>
        <v>8.69</v>
      </c>
      <c r="J13" s="16">
        <f t="shared" si="3"/>
        <v>69.083333333333329</v>
      </c>
      <c r="K13" s="6">
        <f>IFERROR(VLOOKUP(J13,'Bonus Points'!$A$3:$B$21,2),0)</f>
        <v>15</v>
      </c>
      <c r="L13" s="4">
        <f t="shared" si="4"/>
        <v>23.689999999999998</v>
      </c>
    </row>
    <row r="14" spans="1:12">
      <c r="B14" s="2" t="s">
        <v>35</v>
      </c>
      <c r="C14" s="4">
        <v>396.25</v>
      </c>
      <c r="D14" s="4">
        <v>359.25</v>
      </c>
      <c r="E14" s="4">
        <v>380.75</v>
      </c>
      <c r="F14" s="4"/>
      <c r="G14" s="4">
        <f t="shared" si="2"/>
        <v>777</v>
      </c>
      <c r="I14" s="4">
        <f t="shared" si="5"/>
        <v>8.14</v>
      </c>
      <c r="J14" s="16">
        <f t="shared" si="3"/>
        <v>64.75</v>
      </c>
      <c r="K14" s="6">
        <f>IFERROR(VLOOKUP(J14,'Bonus Points'!$A$3:$B$21,2),0)</f>
        <v>13</v>
      </c>
      <c r="L14" s="4">
        <f t="shared" si="4"/>
        <v>21.14</v>
      </c>
    </row>
    <row r="15" spans="1:12">
      <c r="B15" s="2" t="s">
        <v>28</v>
      </c>
      <c r="C15" s="4">
        <v>382.5</v>
      </c>
      <c r="D15" s="4">
        <v>393</v>
      </c>
      <c r="E15" s="4">
        <v>382.25</v>
      </c>
      <c r="F15" s="4"/>
      <c r="G15" s="4">
        <f t="shared" si="2"/>
        <v>775.5</v>
      </c>
      <c r="I15" s="4">
        <f t="shared" si="5"/>
        <v>8.1300000000000008</v>
      </c>
      <c r="J15" s="16">
        <f t="shared" si="3"/>
        <v>64.625</v>
      </c>
      <c r="K15" s="6">
        <f>IFERROR(VLOOKUP(J15,'Bonus Points'!$A$3:$B$21,2),0)</f>
        <v>13</v>
      </c>
      <c r="L15" s="4">
        <f t="shared" si="4"/>
        <v>21.130000000000003</v>
      </c>
    </row>
    <row r="16" spans="1:12">
      <c r="B16" s="2" t="s">
        <v>69</v>
      </c>
      <c r="C16" s="4">
        <v>383.75</v>
      </c>
      <c r="D16" s="4">
        <v>383.5</v>
      </c>
      <c r="E16" s="4">
        <v>376.25</v>
      </c>
      <c r="F16" s="4"/>
      <c r="G16" s="4">
        <f t="shared" si="2"/>
        <v>767.25</v>
      </c>
      <c r="I16" s="4">
        <f t="shared" si="5"/>
        <v>8.0399999999999991</v>
      </c>
      <c r="J16" s="16">
        <f t="shared" si="3"/>
        <v>63.9375</v>
      </c>
      <c r="K16" s="6">
        <f>IFERROR(VLOOKUP(J16,'Bonus Points'!$A$3:$B$21,2),0)</f>
        <v>13</v>
      </c>
      <c r="L16" s="4">
        <f t="shared" si="4"/>
        <v>21.04</v>
      </c>
    </row>
    <row r="17" spans="2:12">
      <c r="B17" s="2" t="s">
        <v>16</v>
      </c>
      <c r="C17" s="4">
        <v>387</v>
      </c>
      <c r="D17" s="4">
        <v>359</v>
      </c>
      <c r="E17" s="4">
        <v>370.25</v>
      </c>
      <c r="F17" s="4"/>
      <c r="G17" s="4">
        <f t="shared" si="2"/>
        <v>757.25</v>
      </c>
      <c r="I17" s="4">
        <f t="shared" si="5"/>
        <v>7.94</v>
      </c>
      <c r="J17" s="16">
        <f t="shared" si="3"/>
        <v>63.104166666666664</v>
      </c>
      <c r="K17" s="6">
        <f>IFERROR(VLOOKUP(J17,'Bonus Points'!$A$3:$B$21,2),0)</f>
        <v>13</v>
      </c>
      <c r="L17" s="4">
        <f t="shared" si="4"/>
        <v>20.94</v>
      </c>
    </row>
    <row r="18" spans="2:12">
      <c r="B18" s="2" t="s">
        <v>4</v>
      </c>
      <c r="C18" s="4">
        <v>374.75</v>
      </c>
      <c r="D18" s="4">
        <v>348.25</v>
      </c>
      <c r="E18" s="4">
        <v>323.75</v>
      </c>
      <c r="F18" s="4"/>
      <c r="G18" s="4">
        <f t="shared" si="2"/>
        <v>723</v>
      </c>
      <c r="I18" s="4">
        <f t="shared" si="5"/>
        <v>7.58</v>
      </c>
      <c r="J18" s="16">
        <f t="shared" si="3"/>
        <v>60.25</v>
      </c>
      <c r="K18" s="6">
        <f>IFERROR(VLOOKUP(J18,'Bonus Points'!$A$3:$B$21,2),0)</f>
        <v>12</v>
      </c>
      <c r="L18" s="4">
        <f t="shared" si="4"/>
        <v>19.579999999999998</v>
      </c>
    </row>
    <row r="19" spans="2:12">
      <c r="B19" s="2" t="s">
        <v>25</v>
      </c>
      <c r="C19" s="4">
        <v>347.75</v>
      </c>
      <c r="D19" s="4">
        <v>303.25</v>
      </c>
      <c r="E19" s="4">
        <v>282.25</v>
      </c>
      <c r="F19" s="4"/>
      <c r="G19" s="4">
        <f t="shared" si="2"/>
        <v>651</v>
      </c>
      <c r="I19" s="4">
        <f t="shared" si="5"/>
        <v>6.82</v>
      </c>
      <c r="J19" s="16">
        <f t="shared" si="3"/>
        <v>54.25</v>
      </c>
      <c r="K19" s="6">
        <f>IFERROR(VLOOKUP(J19,'Bonus Points'!$A$3:$B$21,2),0)</f>
        <v>9</v>
      </c>
      <c r="L19" s="4">
        <f t="shared" si="4"/>
        <v>15.82</v>
      </c>
    </row>
    <row r="20" spans="2:12">
      <c r="G20" s="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94787-B0E6-014F-92D5-64DFCACCB458}">
  <dimension ref="A1:R26"/>
  <sheetViews>
    <sheetView workbookViewId="0">
      <selection activeCell="L7" sqref="L7"/>
    </sheetView>
  </sheetViews>
  <sheetFormatPr baseColWidth="10" defaultColWidth="11" defaultRowHeight="16"/>
  <cols>
    <col min="1" max="1" width="11.83203125" bestFit="1" customWidth="1"/>
    <col min="2" max="2" width="19.33203125" bestFit="1" customWidth="1"/>
    <col min="11" max="11" width="13.1640625" bestFit="1" customWidth="1"/>
    <col min="12" max="12" width="16.6640625" bestFit="1" customWidth="1"/>
    <col min="13" max="13" width="18.1640625" bestFit="1" customWidth="1"/>
    <col min="14" max="14" width="17.33203125" bestFit="1" customWidth="1"/>
    <col min="15" max="15" width="16.6640625" bestFit="1" customWidth="1"/>
    <col min="16" max="16" width="18.1640625" bestFit="1" customWidth="1"/>
    <col min="17" max="17" width="17.33203125" bestFit="1" customWidth="1"/>
  </cols>
  <sheetData>
    <row r="1" spans="1:18">
      <c r="A1" s="2"/>
      <c r="B1" s="2"/>
      <c r="C1" s="2" t="s">
        <v>18</v>
      </c>
      <c r="D1" s="2" t="s">
        <v>19</v>
      </c>
      <c r="E1" s="2" t="s">
        <v>20</v>
      </c>
      <c r="F1" s="2" t="s">
        <v>37</v>
      </c>
      <c r="G1" s="2"/>
      <c r="H1" s="2"/>
      <c r="I1" s="2" t="s">
        <v>2</v>
      </c>
      <c r="J1" s="2"/>
      <c r="K1" s="2" t="s">
        <v>54</v>
      </c>
      <c r="L1" s="2" t="s">
        <v>53</v>
      </c>
      <c r="M1" s="2" t="s">
        <v>45</v>
      </c>
      <c r="N1" s="2" t="s">
        <v>52</v>
      </c>
    </row>
    <row r="2" spans="1:18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8">
      <c r="A3" s="2"/>
      <c r="B3" s="2" t="s">
        <v>23</v>
      </c>
      <c r="C3" s="4">
        <v>214.5</v>
      </c>
      <c r="D3" s="4">
        <v>205.25</v>
      </c>
      <c r="E3" s="4">
        <v>219.25</v>
      </c>
      <c r="F3" s="4">
        <v>198.25</v>
      </c>
      <c r="G3" s="2"/>
      <c r="H3" s="2"/>
      <c r="I3" s="4" cm="1">
        <f t="array" ref="I3">SUM(LARGE(C3:F3, {1,2,3}))</f>
        <v>639</v>
      </c>
      <c r="J3" s="2"/>
      <c r="K3" s="4">
        <f>ROUND(10*I3/MAX(I$3:I$4),2)</f>
        <v>10</v>
      </c>
      <c r="L3" s="16">
        <f>((SUM(C3:F3)-MIN(C3:F3))/990)*100</f>
        <v>64.545454545454547</v>
      </c>
      <c r="M3" s="6">
        <f>IFERROR(VLOOKUP(L3,'[1]Bonus Points'!$A$3:$B$21,2),0)</f>
        <v>13</v>
      </c>
      <c r="N3" s="4">
        <f t="shared" ref="N3" si="0">K3+M3</f>
        <v>23</v>
      </c>
    </row>
    <row r="4" spans="1:18">
      <c r="A4" s="2"/>
      <c r="B4" s="2"/>
      <c r="C4" s="4"/>
      <c r="D4" s="4"/>
      <c r="E4" s="4"/>
      <c r="F4" s="4"/>
      <c r="G4" s="2"/>
      <c r="H4" s="2"/>
      <c r="I4" s="4"/>
      <c r="J4" s="2"/>
      <c r="K4" s="4"/>
      <c r="L4" s="16"/>
      <c r="M4" s="6"/>
      <c r="N4" s="4"/>
      <c r="O4" s="7"/>
      <c r="P4" s="5"/>
      <c r="Q4" s="1"/>
    </row>
    <row r="5" spans="1:18">
      <c r="A5" s="2"/>
      <c r="B5" s="2"/>
      <c r="C5" s="2"/>
      <c r="D5" s="2"/>
      <c r="E5" s="2"/>
      <c r="F5" s="2"/>
      <c r="G5" s="2"/>
      <c r="H5" s="2"/>
      <c r="I5" s="4"/>
      <c r="J5" s="2"/>
      <c r="K5" s="2"/>
      <c r="L5" s="16"/>
      <c r="M5" s="2"/>
      <c r="N5" s="2"/>
      <c r="O5" s="7"/>
      <c r="P5" s="5"/>
      <c r="Q5" s="1"/>
    </row>
    <row r="6" spans="1:18">
      <c r="A6" s="2" t="s">
        <v>3</v>
      </c>
      <c r="B6" s="2"/>
      <c r="C6" s="2"/>
      <c r="D6" s="2"/>
      <c r="E6" s="2"/>
      <c r="F6" s="2"/>
      <c r="G6" s="2"/>
      <c r="H6" s="2"/>
      <c r="I6" s="4"/>
      <c r="J6" s="2"/>
      <c r="K6" s="2"/>
      <c r="L6" s="16"/>
      <c r="M6" s="2"/>
      <c r="N6" s="2"/>
      <c r="O6" s="1"/>
      <c r="P6" s="5"/>
    </row>
    <row r="7" spans="1:18">
      <c r="A7" s="2"/>
      <c r="B7" t="s">
        <v>81</v>
      </c>
      <c r="C7">
        <v>266.75</v>
      </c>
      <c r="D7">
        <v>263.75</v>
      </c>
      <c r="E7">
        <v>275.25</v>
      </c>
      <c r="F7">
        <v>270.25</v>
      </c>
      <c r="I7" s="4" cm="1">
        <f t="array" ref="I7">SUM(LARGE(C7:F7, {1,2,3}))</f>
        <v>812.25</v>
      </c>
      <c r="J7" s="2"/>
      <c r="K7" s="4">
        <f>ROUND(10*I7/MAX(I$7:I$10),2)</f>
        <v>10</v>
      </c>
      <c r="L7" s="16">
        <f>((SUM(C7:F7)-MIN(C7:F7))/1200)*100</f>
        <v>67.6875</v>
      </c>
      <c r="M7" s="6">
        <f>IFERROR(VLOOKUP(L7,'[1]Bonus Points'!$A$3:$B$21,2),0)</f>
        <v>15</v>
      </c>
      <c r="N7" s="4">
        <f t="shared" ref="N7:N10" si="1">K7+M7</f>
        <v>25</v>
      </c>
      <c r="O7" s="1"/>
      <c r="P7" s="1"/>
    </row>
    <row r="8" spans="1:18">
      <c r="A8" s="2"/>
      <c r="B8" s="2" t="s">
        <v>82</v>
      </c>
      <c r="C8" s="2">
        <v>248.75</v>
      </c>
      <c r="D8" s="2">
        <v>260.25</v>
      </c>
      <c r="E8" s="2">
        <v>270</v>
      </c>
      <c r="F8" s="2">
        <v>277.75</v>
      </c>
      <c r="G8" s="2"/>
      <c r="H8" s="2"/>
      <c r="I8" s="4" cm="1">
        <f t="array" ref="I8">SUM(LARGE(C8:F8, {1,2,3}))</f>
        <v>808</v>
      </c>
      <c r="J8" s="2"/>
      <c r="K8" s="4">
        <f t="shared" ref="K8:K10" si="2">ROUND(10*I8/MAX(I$7:I$10),2)</f>
        <v>9.9499999999999993</v>
      </c>
      <c r="L8" s="16">
        <f t="shared" ref="L8:L10" si="3">((SUM(C8:F8)-MIN(C8:F8))/1200)*100</f>
        <v>67.333333333333329</v>
      </c>
      <c r="M8" s="6">
        <f>IFERROR(VLOOKUP(L8,'[1]Bonus Points'!$A$3:$B$21,2),0)</f>
        <v>14</v>
      </c>
      <c r="N8" s="4">
        <f t="shared" si="1"/>
        <v>23.95</v>
      </c>
      <c r="O8" s="7"/>
      <c r="P8" s="1"/>
      <c r="Q8" s="1"/>
      <c r="R8" s="1"/>
    </row>
    <row r="9" spans="1:18">
      <c r="B9" s="2" t="s">
        <v>5</v>
      </c>
      <c r="C9" s="4">
        <v>277</v>
      </c>
      <c r="D9" s="4">
        <v>254.5</v>
      </c>
      <c r="E9" s="4">
        <v>262</v>
      </c>
      <c r="F9" s="4">
        <v>257.75</v>
      </c>
      <c r="G9" s="4"/>
      <c r="H9" s="4"/>
      <c r="I9" s="4" cm="1">
        <f t="array" ref="I9">SUM(LARGE(C9:F9, {1,2,3}))</f>
        <v>796.75</v>
      </c>
      <c r="J9" s="2"/>
      <c r="K9" s="4">
        <f t="shared" si="2"/>
        <v>9.81</v>
      </c>
      <c r="L9" s="16">
        <f t="shared" si="3"/>
        <v>66.395833333333329</v>
      </c>
      <c r="M9" s="6">
        <f>IFERROR(VLOOKUP(L9,'[1]Bonus Points'!$A$3:$B$21,2),0)</f>
        <v>14</v>
      </c>
      <c r="N9" s="4">
        <f t="shared" si="1"/>
        <v>23.810000000000002</v>
      </c>
      <c r="O9" s="7"/>
      <c r="P9" s="1"/>
      <c r="Q9" s="1"/>
      <c r="R9" s="1"/>
    </row>
    <row r="10" spans="1:18">
      <c r="B10" t="s">
        <v>83</v>
      </c>
      <c r="C10" s="2">
        <v>220.75</v>
      </c>
      <c r="D10" s="2">
        <v>235.5</v>
      </c>
      <c r="E10" s="2">
        <v>217.5</v>
      </c>
      <c r="F10" s="2">
        <v>230.75</v>
      </c>
      <c r="I10" s="4" cm="1">
        <f t="array" ref="I10">SUM(LARGE(C10:F10, {1,2,3}))</f>
        <v>687</v>
      </c>
      <c r="J10" s="2"/>
      <c r="K10" s="4">
        <f t="shared" si="2"/>
        <v>8.4600000000000009</v>
      </c>
      <c r="L10" s="16">
        <f t="shared" si="3"/>
        <v>57.25</v>
      </c>
      <c r="M10" s="6">
        <f>IFERROR(VLOOKUP(L10,'[1]Bonus Points'!$A$3:$B$21,2),0)</f>
        <v>10</v>
      </c>
      <c r="N10" s="4">
        <f t="shared" si="1"/>
        <v>18.46</v>
      </c>
      <c r="O10" s="1"/>
      <c r="P10" s="1"/>
      <c r="R10" s="1"/>
    </row>
    <row r="11" spans="1:18">
      <c r="I11" s="4"/>
      <c r="L11" s="16"/>
      <c r="P11" s="1"/>
      <c r="R11" s="1"/>
    </row>
    <row r="12" spans="1:18">
      <c r="A12" s="2" t="s">
        <v>9</v>
      </c>
      <c r="B12" s="2"/>
      <c r="C12" s="2"/>
      <c r="D12" s="2"/>
      <c r="E12" s="2"/>
      <c r="F12" s="2"/>
      <c r="G12" s="2"/>
      <c r="H12" s="2"/>
      <c r="I12" s="4"/>
      <c r="J12" s="2"/>
      <c r="K12" s="2"/>
      <c r="L12" s="16"/>
      <c r="M12" s="2"/>
      <c r="N12" s="2"/>
      <c r="O12" s="7"/>
      <c r="P12" s="1"/>
      <c r="Q12" s="1"/>
    </row>
    <row r="13" spans="1:18">
      <c r="A13" s="2"/>
      <c r="B13" s="2" t="s">
        <v>28</v>
      </c>
      <c r="C13" s="4">
        <v>387.75</v>
      </c>
      <c r="D13" s="4">
        <v>409.5</v>
      </c>
      <c r="E13" s="4">
        <v>410</v>
      </c>
      <c r="F13" s="4">
        <v>419.75</v>
      </c>
      <c r="G13" s="4"/>
      <c r="H13" s="4"/>
      <c r="I13" s="4" cm="1">
        <f t="array" ref="I13">SUM(LARGE(C13:F13, {1,2,3}))</f>
        <v>1239.25</v>
      </c>
      <c r="J13" s="2"/>
      <c r="K13" s="4">
        <f>ROUND(10*I13/MAX(I$13:I$17),2)</f>
        <v>10</v>
      </c>
      <c r="L13" s="16">
        <f>((SUM(C13:F13)-MIN(C13:F13))/1800)*100</f>
        <v>68.847222222222229</v>
      </c>
      <c r="M13" s="6">
        <f>IFERROR(VLOOKUP(L13,'[1]Bonus Points'!$A$3:$B$21,2),0)</f>
        <v>15</v>
      </c>
      <c r="N13" s="4">
        <f t="shared" ref="N13:N17" si="4">K13+M13</f>
        <v>25</v>
      </c>
      <c r="P13" s="1"/>
      <c r="Q13" s="1"/>
    </row>
    <row r="14" spans="1:18">
      <c r="A14" s="2"/>
      <c r="B14" s="2" t="s">
        <v>32</v>
      </c>
      <c r="C14" s="4">
        <v>343</v>
      </c>
      <c r="D14" s="4">
        <v>338.5</v>
      </c>
      <c r="E14" s="4">
        <v>358</v>
      </c>
      <c r="F14" s="4">
        <v>373.75</v>
      </c>
      <c r="G14" s="4"/>
      <c r="H14" s="4"/>
      <c r="I14" s="4" cm="1">
        <f t="array" ref="I14">SUM(LARGE(C14:F14, {1,2,3}))</f>
        <v>1074.75</v>
      </c>
      <c r="J14" s="2"/>
      <c r="K14" s="4">
        <f>ROUND(10*I14/MAX(I$13:I$17),2)</f>
        <v>8.67</v>
      </c>
      <c r="L14" s="16">
        <f t="shared" ref="L14:L17" si="5">((SUM(C14:F14)-MIN(C14:F14))/1800)*100</f>
        <v>59.708333333333329</v>
      </c>
      <c r="M14" s="6">
        <f>IFERROR(VLOOKUP(L14,'[1]Bonus Points'!$A$3:$B$21,2),0)</f>
        <v>11</v>
      </c>
      <c r="N14" s="4">
        <f t="shared" si="4"/>
        <v>19.670000000000002</v>
      </c>
      <c r="O14" s="1"/>
      <c r="P14" s="1"/>
      <c r="Q14" s="1"/>
    </row>
    <row r="15" spans="1:18">
      <c r="A15" s="2"/>
      <c r="B15" s="2" t="s">
        <v>33</v>
      </c>
      <c r="C15" s="4">
        <v>360</v>
      </c>
      <c r="D15" s="4">
        <v>306.75</v>
      </c>
      <c r="E15" s="4">
        <v>365.75</v>
      </c>
      <c r="F15" s="4">
        <v>342.75</v>
      </c>
      <c r="G15" s="4"/>
      <c r="H15" s="4"/>
      <c r="I15" s="4" cm="1">
        <f t="array" ref="I15">SUM(LARGE(C15:F15, {1,2,3}))</f>
        <v>1068.5</v>
      </c>
      <c r="J15" s="2"/>
      <c r="K15" s="4">
        <f>ROUND(10*I15/MAX(I$13:I$17),2)</f>
        <v>8.6199999999999992</v>
      </c>
      <c r="L15" s="16">
        <f t="shared" si="5"/>
        <v>59.361111111111107</v>
      </c>
      <c r="M15" s="6">
        <f>IFERROR(VLOOKUP(L15,'[1]Bonus Points'!$A$3:$B$21,2),0)</f>
        <v>11</v>
      </c>
      <c r="N15" s="4">
        <f t="shared" si="4"/>
        <v>19.619999999999997</v>
      </c>
      <c r="P15" s="1"/>
      <c r="Q15" s="1"/>
    </row>
    <row r="16" spans="1:18">
      <c r="A16" s="2"/>
      <c r="B16" s="2" t="s">
        <v>4</v>
      </c>
      <c r="C16" s="4">
        <v>344</v>
      </c>
      <c r="D16" s="4">
        <v>326.5</v>
      </c>
      <c r="E16" s="4">
        <v>344.75</v>
      </c>
      <c r="F16" s="4">
        <v>340</v>
      </c>
      <c r="G16" s="4"/>
      <c r="H16" s="4"/>
      <c r="I16" s="4" cm="1">
        <f t="array" ref="I16">SUM(LARGE(C16:F16, {1,2,3}))</f>
        <v>1028.75</v>
      </c>
      <c r="J16" s="2"/>
      <c r="K16" s="4">
        <f>ROUND(10*I16/MAX(I$13:I$17),2)</f>
        <v>8.3000000000000007</v>
      </c>
      <c r="L16" s="16">
        <f t="shared" si="5"/>
        <v>57.152777777777771</v>
      </c>
      <c r="M16" s="6">
        <f>IFERROR(VLOOKUP(L16,'[1]Bonus Points'!$A$3:$B$21,2),0)</f>
        <v>10</v>
      </c>
      <c r="N16" s="4">
        <f t="shared" si="4"/>
        <v>18.3</v>
      </c>
      <c r="O16" s="7"/>
      <c r="P16" s="1"/>
      <c r="Q16" s="1"/>
    </row>
    <row r="17" spans="1:17">
      <c r="A17" s="2"/>
      <c r="B17" s="2" t="s">
        <v>30</v>
      </c>
      <c r="C17" s="4">
        <v>306.75</v>
      </c>
      <c r="D17" s="4">
        <v>314</v>
      </c>
      <c r="E17" s="4">
        <v>327.5</v>
      </c>
      <c r="F17" s="4">
        <v>203.25</v>
      </c>
      <c r="G17" s="4"/>
      <c r="H17" s="4"/>
      <c r="I17" s="4" cm="1">
        <f t="array" ref="I17">SUM(LARGE(C17:F17, {1,2,3}))</f>
        <v>948.25</v>
      </c>
      <c r="J17" s="2"/>
      <c r="K17" s="4">
        <f>ROUND(10*I17/MAX(I$13:I$17),2)</f>
        <v>7.65</v>
      </c>
      <c r="L17" s="16">
        <f t="shared" si="5"/>
        <v>52.68055555555555</v>
      </c>
      <c r="M17" s="6">
        <f>IFERROR(VLOOKUP(L17,'[1]Bonus Points'!$A$3:$B$21,2),0)</f>
        <v>9</v>
      </c>
      <c r="N17" s="4">
        <f t="shared" si="4"/>
        <v>16.649999999999999</v>
      </c>
      <c r="O17" s="7"/>
      <c r="P17" s="1"/>
      <c r="Q17" s="1"/>
    </row>
    <row r="18" spans="1:17">
      <c r="A18" s="2"/>
      <c r="O18" s="7"/>
      <c r="P18" s="5"/>
      <c r="Q18" s="1"/>
    </row>
    <row r="19" spans="1:17">
      <c r="A19" s="2"/>
      <c r="C19" s="1"/>
      <c r="D19" s="1"/>
      <c r="E19" s="1"/>
      <c r="F19" s="1"/>
      <c r="G19" s="1"/>
      <c r="H19" s="1"/>
      <c r="I19" s="1"/>
      <c r="J19" s="1"/>
      <c r="K19" s="1"/>
      <c r="L19" s="1"/>
      <c r="N19" s="1"/>
      <c r="O19" s="7"/>
      <c r="P19" s="5"/>
      <c r="Q19" s="1"/>
    </row>
    <row r="20" spans="1:17">
      <c r="C20" s="1"/>
      <c r="D20" s="1"/>
      <c r="E20" s="1"/>
      <c r="F20" s="1"/>
      <c r="G20" s="1"/>
      <c r="H20" s="1"/>
      <c r="I20" s="1"/>
      <c r="J20" s="1"/>
      <c r="K20" s="1"/>
      <c r="L20" s="1"/>
      <c r="N20" s="1"/>
      <c r="O20" s="7"/>
      <c r="P20" s="5"/>
      <c r="Q20" s="1"/>
    </row>
    <row r="21" spans="1:17">
      <c r="O21" s="7"/>
      <c r="P21" s="5"/>
      <c r="Q21" s="1"/>
    </row>
    <row r="22" spans="1:17">
      <c r="O22" s="7"/>
      <c r="P22" s="5"/>
      <c r="Q22" s="1"/>
    </row>
    <row r="23" spans="1:17">
      <c r="O23" s="1"/>
      <c r="P23" s="5"/>
    </row>
    <row r="24" spans="1:17">
      <c r="O24" s="1"/>
      <c r="P24" s="5"/>
    </row>
    <row r="25" spans="1:17">
      <c r="O25" s="1"/>
      <c r="P25" s="5"/>
    </row>
    <row r="26" spans="1:17">
      <c r="O26" s="1"/>
      <c r="P26" s="5"/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B71D4-E482-344D-AC9C-9D1F2736A87B}">
  <dimension ref="C4:Q28"/>
  <sheetViews>
    <sheetView workbookViewId="0">
      <selection activeCell="N49" sqref="N49"/>
    </sheetView>
  </sheetViews>
  <sheetFormatPr baseColWidth="10" defaultRowHeight="16"/>
  <cols>
    <col min="1" max="1" width="11.83203125" bestFit="1" customWidth="1"/>
    <col min="2" max="2" width="19.33203125" bestFit="1" customWidth="1"/>
    <col min="12" max="12" width="13.1640625" bestFit="1" customWidth="1"/>
    <col min="13" max="13" width="16.6640625" bestFit="1" customWidth="1"/>
    <col min="14" max="14" width="18.1640625" bestFit="1" customWidth="1"/>
    <col min="15" max="15" width="17.33203125" bestFit="1" customWidth="1"/>
    <col min="17" max="17" width="17.6640625" bestFit="1" customWidth="1"/>
  </cols>
  <sheetData>
    <row r="4" spans="3:17">
      <c r="C4" s="1"/>
      <c r="D4" s="1"/>
      <c r="E4" s="1"/>
      <c r="F4" s="1"/>
      <c r="G4" s="1"/>
      <c r="H4" s="1"/>
      <c r="J4" s="1"/>
      <c r="L4" s="1"/>
      <c r="M4" s="7"/>
      <c r="N4" s="5"/>
      <c r="O4" s="1"/>
    </row>
    <row r="5" spans="3:17">
      <c r="C5" s="1"/>
      <c r="D5" s="1"/>
      <c r="E5" s="1"/>
      <c r="F5" s="1"/>
      <c r="G5" s="1"/>
      <c r="H5" s="1"/>
      <c r="J5" s="1"/>
      <c r="L5" s="1"/>
      <c r="M5" s="7"/>
      <c r="N5" s="5"/>
      <c r="O5" s="1"/>
    </row>
    <row r="6" spans="3:17">
      <c r="C6" s="1"/>
      <c r="D6" s="1"/>
      <c r="E6" s="1"/>
      <c r="F6" s="1"/>
      <c r="G6" s="1"/>
      <c r="H6" s="1"/>
      <c r="J6" s="1"/>
      <c r="L6" s="1"/>
      <c r="M6" s="7"/>
      <c r="N6" s="5"/>
      <c r="O6" s="1"/>
    </row>
    <row r="7" spans="3:17">
      <c r="C7" s="1"/>
      <c r="D7" s="1"/>
      <c r="E7" s="1"/>
      <c r="F7" s="1"/>
      <c r="G7" s="1"/>
      <c r="H7" s="1"/>
      <c r="M7" s="1"/>
      <c r="N7" s="5"/>
    </row>
    <row r="8" spans="3:17">
      <c r="C8" s="1"/>
      <c r="D8" s="1"/>
      <c r="E8" s="1"/>
      <c r="F8" s="1"/>
      <c r="G8" s="1"/>
      <c r="H8" s="1"/>
      <c r="M8" s="1"/>
      <c r="N8" s="5"/>
    </row>
    <row r="9" spans="3:17">
      <c r="C9" s="1"/>
      <c r="D9" s="1"/>
      <c r="E9" s="1"/>
      <c r="F9" s="1"/>
      <c r="G9" s="1"/>
      <c r="H9" s="1"/>
      <c r="I9" s="1"/>
      <c r="J9" s="1"/>
      <c r="L9" s="1"/>
      <c r="M9" s="7"/>
      <c r="N9" s="5"/>
      <c r="O9" s="1"/>
    </row>
    <row r="10" spans="3:17">
      <c r="C10" s="1"/>
      <c r="D10" s="1"/>
      <c r="E10" s="1"/>
      <c r="F10" s="1"/>
      <c r="G10" s="1"/>
      <c r="H10" s="1"/>
      <c r="I10" s="1"/>
      <c r="J10" s="1"/>
      <c r="L10" s="1"/>
      <c r="M10" s="7"/>
      <c r="N10" s="5"/>
      <c r="O10" s="1"/>
    </row>
    <row r="11" spans="3:17">
      <c r="C11" s="1"/>
      <c r="D11" s="1"/>
      <c r="E11" s="1"/>
      <c r="F11" s="1"/>
      <c r="G11" s="1"/>
      <c r="H11" s="1"/>
      <c r="M11" s="1"/>
      <c r="N11" s="5"/>
    </row>
    <row r="12" spans="3:17">
      <c r="C12" s="1"/>
      <c r="D12" s="1"/>
      <c r="E12" s="1"/>
      <c r="F12" s="1"/>
      <c r="G12" s="1"/>
      <c r="H12" s="1"/>
      <c r="N12" s="5"/>
    </row>
    <row r="13" spans="3:17">
      <c r="C13" s="1"/>
      <c r="D13" s="1"/>
      <c r="E13" s="1"/>
      <c r="F13" s="1"/>
      <c r="G13" s="1"/>
      <c r="H13" s="1"/>
      <c r="J13" s="1"/>
      <c r="L13" s="1"/>
      <c r="M13" s="7"/>
      <c r="N13" s="5"/>
      <c r="O13" s="1"/>
    </row>
    <row r="14" spans="3:17">
      <c r="C14" s="1"/>
      <c r="D14" s="1"/>
      <c r="E14" s="1"/>
      <c r="F14" s="1"/>
      <c r="G14" s="1"/>
      <c r="H14" s="1"/>
      <c r="I14" s="1"/>
      <c r="J14" s="1"/>
      <c r="L14" s="1"/>
      <c r="M14" s="7"/>
      <c r="N14" s="5"/>
      <c r="O14" s="1"/>
    </row>
    <row r="15" spans="3:17">
      <c r="C15" s="1"/>
      <c r="D15" s="1"/>
      <c r="E15" s="1"/>
      <c r="F15" s="1"/>
      <c r="G15" s="1"/>
      <c r="H15" s="1"/>
      <c r="I15" s="1"/>
      <c r="J15" s="1"/>
      <c r="L15" s="1"/>
      <c r="M15" s="7"/>
      <c r="N15" s="5"/>
      <c r="O15" s="1"/>
      <c r="Q15" s="1"/>
    </row>
    <row r="16" spans="3:17">
      <c r="C16" s="1"/>
      <c r="D16" s="1"/>
      <c r="E16" s="1"/>
      <c r="F16" s="1"/>
      <c r="G16" s="1"/>
      <c r="H16" s="1"/>
      <c r="M16" s="1"/>
      <c r="N16" s="5"/>
      <c r="Q16" s="1"/>
    </row>
    <row r="17" spans="3:17">
      <c r="C17" s="1"/>
      <c r="D17" s="1"/>
      <c r="E17" s="1"/>
      <c r="F17" s="1"/>
      <c r="G17" s="1"/>
      <c r="H17" s="1"/>
      <c r="Q17" s="1"/>
    </row>
    <row r="18" spans="3:17">
      <c r="C18" s="1"/>
      <c r="D18" s="1"/>
      <c r="E18" s="1"/>
      <c r="F18" s="1"/>
      <c r="G18" s="1"/>
      <c r="H18" s="1"/>
      <c r="I18" s="1"/>
      <c r="J18" s="1"/>
      <c r="L18" s="1"/>
      <c r="M18" s="7"/>
      <c r="N18" s="5"/>
      <c r="O18" s="1"/>
      <c r="Q18" s="1"/>
    </row>
    <row r="19" spans="3:17">
      <c r="C19" s="1"/>
      <c r="D19" s="1"/>
      <c r="E19" s="1"/>
      <c r="F19" s="1"/>
      <c r="G19" s="1"/>
      <c r="H19" s="1"/>
      <c r="I19" s="1"/>
      <c r="J19" s="1"/>
      <c r="L19" s="1"/>
      <c r="M19" s="7"/>
      <c r="N19" s="5"/>
      <c r="O19" s="1"/>
      <c r="Q19" s="1"/>
    </row>
    <row r="20" spans="3:17">
      <c r="C20" s="1"/>
      <c r="D20" s="1"/>
      <c r="E20" s="1"/>
      <c r="F20" s="1"/>
      <c r="G20" s="1"/>
      <c r="H20" s="1"/>
      <c r="I20" s="1"/>
      <c r="J20" s="1"/>
      <c r="L20" s="1"/>
      <c r="M20" s="7"/>
      <c r="N20" s="5"/>
      <c r="O20" s="1"/>
      <c r="Q20" s="1"/>
    </row>
    <row r="21" spans="3:17">
      <c r="C21" s="1"/>
      <c r="D21" s="1"/>
      <c r="E21" s="1"/>
      <c r="F21" s="1"/>
      <c r="G21" s="1"/>
      <c r="H21" s="1"/>
      <c r="I21" s="1"/>
      <c r="J21" s="1"/>
      <c r="L21" s="1"/>
      <c r="M21" s="7"/>
      <c r="N21" s="5"/>
      <c r="O21" s="1"/>
      <c r="Q21" s="1"/>
    </row>
    <row r="22" spans="3:17">
      <c r="C22" s="1"/>
      <c r="D22" s="1"/>
      <c r="E22" s="1"/>
      <c r="F22" s="1"/>
      <c r="G22" s="1"/>
      <c r="H22" s="1"/>
      <c r="I22" s="1"/>
      <c r="J22" s="1"/>
      <c r="L22" s="1"/>
      <c r="M22" s="7"/>
      <c r="N22" s="5"/>
      <c r="O22" s="1"/>
      <c r="Q22" s="1"/>
    </row>
    <row r="23" spans="3:17">
      <c r="C23" s="1"/>
      <c r="D23" s="1"/>
      <c r="E23" s="1"/>
      <c r="F23" s="1"/>
      <c r="G23" s="1"/>
      <c r="H23" s="1"/>
      <c r="I23" s="1"/>
      <c r="J23" s="1"/>
      <c r="L23" s="1"/>
      <c r="M23" s="7"/>
      <c r="N23" s="5"/>
      <c r="O23" s="1"/>
      <c r="Q23" s="1"/>
    </row>
    <row r="24" spans="3:17">
      <c r="C24" s="1"/>
      <c r="D24" s="1"/>
      <c r="E24" s="1"/>
      <c r="F24" s="1"/>
      <c r="G24" s="1"/>
      <c r="H24" s="1"/>
      <c r="I24" s="1"/>
      <c r="J24" s="1"/>
      <c r="L24" s="1"/>
      <c r="M24" s="7"/>
      <c r="N24" s="5"/>
      <c r="O24" s="1"/>
      <c r="Q24" s="1"/>
    </row>
    <row r="25" spans="3:17">
      <c r="M25" s="1"/>
      <c r="N25" s="5"/>
    </row>
    <row r="26" spans="3:17">
      <c r="M26" s="1"/>
      <c r="N26" s="5"/>
    </row>
    <row r="27" spans="3:17">
      <c r="M27" s="1"/>
      <c r="N27" s="5"/>
    </row>
    <row r="28" spans="3:17">
      <c r="M28" s="1"/>
      <c r="N28" s="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9A32F-0AAB-9044-84BD-7374F615FCD5}">
  <dimension ref="A1:AG32"/>
  <sheetViews>
    <sheetView topLeftCell="K1" workbookViewId="0">
      <selection activeCell="S19" sqref="S19"/>
    </sheetView>
  </sheetViews>
  <sheetFormatPr baseColWidth="10" defaultRowHeight="16"/>
  <cols>
    <col min="1" max="1" width="17.5" style="2" bestFit="1" customWidth="1"/>
    <col min="2" max="2" width="20.5" style="2" bestFit="1" customWidth="1"/>
    <col min="3" max="13" width="10.83203125" style="2"/>
    <col min="14" max="14" width="18.83203125" style="2" bestFit="1" customWidth="1"/>
    <col min="15" max="15" width="10.83203125" style="2"/>
    <col min="16" max="16" width="13.1640625" style="2" bestFit="1" customWidth="1"/>
    <col min="17" max="17" width="16.6640625" style="2" bestFit="1" customWidth="1"/>
    <col min="18" max="18" width="18.1640625" style="2" bestFit="1" customWidth="1"/>
    <col min="19" max="19" width="17.33203125" style="2" bestFit="1" customWidth="1"/>
    <col min="20" max="32" width="10.83203125" style="2"/>
    <col min="33" max="33" width="17.6640625" bestFit="1" customWidth="1"/>
    <col min="34" max="16384" width="10.83203125" style="2"/>
  </cols>
  <sheetData>
    <row r="1" spans="1:33">
      <c r="A1" s="2" t="s">
        <v>0</v>
      </c>
      <c r="C1" s="2" t="s">
        <v>18</v>
      </c>
      <c r="E1" s="2" t="s">
        <v>19</v>
      </c>
      <c r="G1" s="2" t="s">
        <v>20</v>
      </c>
      <c r="I1" s="2" t="s">
        <v>37</v>
      </c>
      <c r="K1" s="2" t="s">
        <v>38</v>
      </c>
      <c r="N1" s="2" t="s">
        <v>2</v>
      </c>
      <c r="P1" s="2" t="s">
        <v>54</v>
      </c>
      <c r="Q1" s="2" t="s">
        <v>53</v>
      </c>
      <c r="R1" s="2" t="s">
        <v>45</v>
      </c>
      <c r="S1" s="2" t="s">
        <v>52</v>
      </c>
      <c r="U1" s="2" t="s">
        <v>18</v>
      </c>
      <c r="V1" s="2" t="s">
        <v>19</v>
      </c>
      <c r="W1" s="2" t="s">
        <v>20</v>
      </c>
      <c r="X1" s="2" t="s">
        <v>37</v>
      </c>
      <c r="Y1" s="2" t="s">
        <v>38</v>
      </c>
      <c r="AA1" s="2" t="s">
        <v>18</v>
      </c>
      <c r="AB1" s="2" t="s">
        <v>19</v>
      </c>
      <c r="AC1" s="2" t="s">
        <v>20</v>
      </c>
      <c r="AD1" s="2" t="s">
        <v>37</v>
      </c>
      <c r="AE1" s="2" t="s">
        <v>38</v>
      </c>
      <c r="AG1" t="s">
        <v>55</v>
      </c>
    </row>
    <row r="2" spans="1:33">
      <c r="C2" s="2" t="s">
        <v>21</v>
      </c>
      <c r="D2" s="2" t="s">
        <v>22</v>
      </c>
      <c r="E2" s="2" t="s">
        <v>21</v>
      </c>
      <c r="F2" s="2" t="s">
        <v>22</v>
      </c>
      <c r="G2" s="2" t="s">
        <v>21</v>
      </c>
      <c r="H2" s="2" t="s">
        <v>22</v>
      </c>
      <c r="I2" s="2" t="s">
        <v>21</v>
      </c>
      <c r="J2" s="2" t="s">
        <v>22</v>
      </c>
      <c r="K2" s="2" t="s">
        <v>21</v>
      </c>
      <c r="L2" s="2" t="s">
        <v>22</v>
      </c>
      <c r="U2" s="2" t="s">
        <v>22</v>
      </c>
      <c r="V2" s="2" t="s">
        <v>22</v>
      </c>
      <c r="W2" s="2" t="s">
        <v>22</v>
      </c>
      <c r="X2" s="2" t="s">
        <v>22</v>
      </c>
      <c r="Y2" s="2" t="s">
        <v>22</v>
      </c>
      <c r="AA2" s="2" t="s">
        <v>21</v>
      </c>
      <c r="AB2" s="2" t="s">
        <v>21</v>
      </c>
      <c r="AC2" s="2" t="s">
        <v>21</v>
      </c>
      <c r="AD2" s="2" t="s">
        <v>21</v>
      </c>
      <c r="AE2" s="2" t="s">
        <v>21</v>
      </c>
    </row>
    <row r="3" spans="1:33">
      <c r="B3" s="2" t="s">
        <v>23</v>
      </c>
      <c r="C3" s="4">
        <v>196</v>
      </c>
      <c r="D3" s="4">
        <f>ROUNDUP(1000*C3/MAX(C$3:C$4),2)</f>
        <v>1000</v>
      </c>
      <c r="E3" s="4">
        <v>203.5</v>
      </c>
      <c r="F3" s="4">
        <f>ROUNDUP(1000*E3/MAX(E$3:E$4),2)</f>
        <v>971.37</v>
      </c>
      <c r="G3" s="4">
        <v>187.5</v>
      </c>
      <c r="H3" s="4">
        <f>ROUNDUP(1000*G3/MAX(G$3:G$4),2)</f>
        <v>1000</v>
      </c>
      <c r="I3" s="4">
        <v>185.75</v>
      </c>
      <c r="J3" s="4">
        <f>ROUNDUP(1000*I3/MAX(I$3:I$4),2)</f>
        <v>845.28</v>
      </c>
      <c r="K3" s="4">
        <v>195.25</v>
      </c>
      <c r="L3" s="4">
        <f>ROUNDUP(1000*K3/MAX(K$3:K$4),2)</f>
        <v>1000</v>
      </c>
      <c r="M3" s="4"/>
      <c r="N3" s="4">
        <f>LARGE(U3:Y3,1)+LARGE(U3:Y3,2)+LARGE(U3:Y3,3)</f>
        <v>3000</v>
      </c>
      <c r="P3" s="4">
        <f>ROUND(10*N3/MAX(N$3:N$4),2)</f>
        <v>10</v>
      </c>
      <c r="Q3" s="4">
        <f>100*(LARGE(AA3:AE3,1)+LARGE(AA3:AE3,2)+LARGE(AA3:AE3,3))/990</f>
        <v>60.075757575757578</v>
      </c>
      <c r="R3" s="6">
        <f>IFERROR(VLOOKUP(Q3,'Bonus Points'!$A$3:$B$21,2),0)</f>
        <v>12</v>
      </c>
      <c r="S3" s="4">
        <f t="shared" ref="S3:S4" si="0">P3+R3</f>
        <v>22</v>
      </c>
      <c r="U3" s="4">
        <f>D3</f>
        <v>1000</v>
      </c>
      <c r="V3" s="4">
        <f>F3</f>
        <v>971.37</v>
      </c>
      <c r="W3" s="4">
        <f>H3</f>
        <v>1000</v>
      </c>
      <c r="X3" s="4">
        <f>J3</f>
        <v>845.28</v>
      </c>
      <c r="Y3" s="4">
        <f>L3</f>
        <v>1000</v>
      </c>
      <c r="AA3" s="4">
        <f>C3</f>
        <v>196</v>
      </c>
      <c r="AB3" s="4">
        <f>E3</f>
        <v>203.5</v>
      </c>
      <c r="AC3" s="4">
        <f>G3</f>
        <v>187.5</v>
      </c>
      <c r="AD3" s="4">
        <f>I3</f>
        <v>185.75</v>
      </c>
      <c r="AE3" s="4">
        <f>K3</f>
        <v>195.25</v>
      </c>
    </row>
    <row r="4" spans="1:33">
      <c r="B4" s="2" t="s">
        <v>87</v>
      </c>
      <c r="C4" s="4">
        <v>72.75</v>
      </c>
      <c r="D4" s="4">
        <f>ROUNDUP(1000*C4/MAX(C$3:C$4),2)</f>
        <v>371.18</v>
      </c>
      <c r="E4" s="4">
        <v>209.5</v>
      </c>
      <c r="F4" s="4">
        <f>ROUNDUP(1000*E4/MAX(E$3:E$4),2)</f>
        <v>1000</v>
      </c>
      <c r="G4" s="4">
        <v>182.25</v>
      </c>
      <c r="H4" s="4">
        <f>ROUNDUP(1000*G4/MAX(G$3:G$4),2)</f>
        <v>972</v>
      </c>
      <c r="I4" s="4">
        <v>219.75</v>
      </c>
      <c r="J4" s="4">
        <f>ROUNDUP(1000*I4/MAX(I$3:I$4),2)</f>
        <v>1000</v>
      </c>
      <c r="K4" s="4">
        <v>193.75</v>
      </c>
      <c r="L4" s="4">
        <f>ROUNDUP(1000*K4/MAX(K$3:K$4),2)</f>
        <v>992.31999999999994</v>
      </c>
      <c r="M4" s="4"/>
      <c r="N4" s="4">
        <f>LARGE(U4:Y4,1)+LARGE(U4:Y4,2)+LARGE(U4:Y4,3)</f>
        <v>2992.3199999999997</v>
      </c>
      <c r="P4" s="4">
        <f>ROUND(10*N4/MAX(N$3:N$4),2)</f>
        <v>9.9700000000000006</v>
      </c>
      <c r="Q4" s="4">
        <f>100*(LARGE(AA4:AE4,1)+LARGE(AA4:AE4,2)+LARGE(AA4:AE4,3))/990</f>
        <v>62.929292929292927</v>
      </c>
      <c r="R4" s="6">
        <f>IFERROR(VLOOKUP(Q4,'Bonus Points'!$A$3:$B$21,2),0)</f>
        <v>13</v>
      </c>
      <c r="S4" s="4">
        <f t="shared" si="0"/>
        <v>22.97</v>
      </c>
      <c r="U4" s="4">
        <f>D4</f>
        <v>371.18</v>
      </c>
      <c r="V4" s="4">
        <f>F4</f>
        <v>1000</v>
      </c>
      <c r="W4" s="4">
        <f>H4</f>
        <v>972</v>
      </c>
      <c r="X4" s="4">
        <f>J4</f>
        <v>1000</v>
      </c>
      <c r="Y4" s="4">
        <f>L4</f>
        <v>992.31999999999994</v>
      </c>
      <c r="AA4" s="4">
        <f>C4</f>
        <v>72.75</v>
      </c>
      <c r="AB4" s="4">
        <f>E4</f>
        <v>209.5</v>
      </c>
      <c r="AC4" s="4">
        <f>G4</f>
        <v>182.25</v>
      </c>
      <c r="AD4" s="4">
        <f>I4</f>
        <v>219.75</v>
      </c>
      <c r="AE4" s="4">
        <f>K4</f>
        <v>193.75</v>
      </c>
    </row>
    <row r="5" spans="1:33">
      <c r="Q5" s="4"/>
    </row>
    <row r="6" spans="1:33">
      <c r="A6" s="2" t="s">
        <v>3</v>
      </c>
    </row>
    <row r="7" spans="1:33">
      <c r="B7" s="2" t="s">
        <v>5</v>
      </c>
      <c r="C7" s="4">
        <v>254</v>
      </c>
      <c r="D7" s="4">
        <f>ROUNDUP(1000*C7/MAX(C$7:C$7),2)</f>
        <v>1000</v>
      </c>
      <c r="E7" s="4">
        <v>252.5</v>
      </c>
      <c r="F7" s="4">
        <f>ROUNDUP(1000*E7/MAX(E$7:E$7),2)</f>
        <v>1000</v>
      </c>
      <c r="G7" s="4">
        <v>238</v>
      </c>
      <c r="H7" s="4">
        <f>ROUNDUP(1000*G7/MAX(G$7:G$7),2)</f>
        <v>1000</v>
      </c>
      <c r="I7" s="4">
        <v>238.5</v>
      </c>
      <c r="J7" s="4">
        <f>ROUNDUP(1000*I7/MAX(I$7:I$7),2)</f>
        <v>1000</v>
      </c>
      <c r="K7" s="4">
        <v>257.75</v>
      </c>
      <c r="L7" s="4">
        <f>ROUNDUP(1000*K7/MAX(K$7:K$7),2)</f>
        <v>1000</v>
      </c>
      <c r="M7" s="4"/>
      <c r="N7" s="4">
        <f>LARGE(U7:Y7,1)+LARGE(U7:Y7,2)+LARGE(U7:Y7,3)</f>
        <v>3000</v>
      </c>
      <c r="P7" s="4">
        <f>ROUND(10*N7/MAX(N$7:N$7),2)</f>
        <v>10</v>
      </c>
      <c r="Q7" s="4">
        <f>100*(LARGE(AA7:AE7,1)+LARGE(AA7:AE7,2)+LARGE(AA7:AE7,3))/1200</f>
        <v>63.6875</v>
      </c>
      <c r="R7" s="6">
        <f>IFERROR(VLOOKUP(Q7,'Bonus Points'!$A$3:$B$21,2),0)</f>
        <v>13</v>
      </c>
      <c r="S7" s="4">
        <f t="shared" ref="S7" si="1">P7+R7</f>
        <v>23</v>
      </c>
      <c r="U7" s="4">
        <f>D7</f>
        <v>1000</v>
      </c>
      <c r="V7" s="4">
        <f>F7</f>
        <v>1000</v>
      </c>
      <c r="W7" s="4">
        <f>H7</f>
        <v>1000</v>
      </c>
      <c r="X7" s="4">
        <f>J7</f>
        <v>1000</v>
      </c>
      <c r="Y7" s="4">
        <f>L7</f>
        <v>1000</v>
      </c>
      <c r="AA7" s="4">
        <f>C7</f>
        <v>254</v>
      </c>
      <c r="AB7" s="4">
        <f>E7</f>
        <v>252.5</v>
      </c>
      <c r="AC7" s="4">
        <f>G7</f>
        <v>238</v>
      </c>
      <c r="AD7" s="4">
        <f>I7</f>
        <v>238.5</v>
      </c>
      <c r="AE7" s="4">
        <f>K7</f>
        <v>257.75</v>
      </c>
    </row>
    <row r="8" spans="1:33">
      <c r="Q8" s="4"/>
    </row>
    <row r="9" spans="1:33">
      <c r="A9" s="2" t="s">
        <v>6</v>
      </c>
      <c r="Q9" s="4"/>
      <c r="R9" s="6"/>
    </row>
    <row r="10" spans="1:33">
      <c r="B10" s="2" t="s">
        <v>7</v>
      </c>
      <c r="C10" s="4">
        <v>302</v>
      </c>
      <c r="D10" s="4">
        <f>ROUNDUP(1000*C10/MAX(C$10:C$10),2)</f>
        <v>1000</v>
      </c>
      <c r="E10" s="4">
        <v>336.25</v>
      </c>
      <c r="F10" s="4">
        <f>ROUNDUP(1000*E10/MAX(E$10:E$10),2)</f>
        <v>1000</v>
      </c>
      <c r="G10" s="4">
        <v>323.25</v>
      </c>
      <c r="H10" s="4">
        <f>ROUNDUP(1000*G10/MAX(G$10:G$10),2)</f>
        <v>1000</v>
      </c>
      <c r="I10" s="4">
        <v>296</v>
      </c>
      <c r="J10" s="4">
        <f>ROUNDUP(1000*I10/MAX(I$10:I$10),2)</f>
        <v>1000</v>
      </c>
      <c r="K10" s="4">
        <v>315.5</v>
      </c>
      <c r="L10" s="4">
        <f>ROUNDUP(1000*K10/MAX(K$10:K$10),2)</f>
        <v>1000</v>
      </c>
      <c r="M10" s="4"/>
      <c r="N10" s="4">
        <f>LARGE(U10:Y10,1)+LARGE(U10:Y10,2)+LARGE(U10:Y10,3)</f>
        <v>3000</v>
      </c>
      <c r="O10" s="4"/>
      <c r="P10" s="4">
        <f>ROUND(10*N10/MAX(N$10:N$10),2)</f>
        <v>10</v>
      </c>
      <c r="Q10" s="4">
        <f>100*(LARGE(AA10:AE10,1)+LARGE(AA10:AE10,2)+LARGE(AA10:AE10,3))/1590</f>
        <v>61.320754716981135</v>
      </c>
      <c r="R10" s="6">
        <f>IFERROR(VLOOKUP(Q10,'Bonus Points'!$A$3:$B$21,2),0)</f>
        <v>12</v>
      </c>
      <c r="S10" s="4">
        <f t="shared" ref="S10" si="2">P10+R10</f>
        <v>22</v>
      </c>
      <c r="U10" s="4">
        <f>D10</f>
        <v>1000</v>
      </c>
      <c r="V10" s="4">
        <f>F10</f>
        <v>1000</v>
      </c>
      <c r="W10" s="4">
        <f>H10</f>
        <v>1000</v>
      </c>
      <c r="X10" s="4">
        <f>J10</f>
        <v>1000</v>
      </c>
      <c r="Y10" s="4">
        <f>L10</f>
        <v>1000</v>
      </c>
      <c r="AA10" s="4">
        <f>C10</f>
        <v>302</v>
      </c>
      <c r="AB10" s="4">
        <f>E10</f>
        <v>336.25</v>
      </c>
      <c r="AC10" s="4">
        <f>G10</f>
        <v>323.25</v>
      </c>
      <c r="AD10" s="4">
        <f>I10</f>
        <v>296</v>
      </c>
      <c r="AE10" s="4">
        <f>K10</f>
        <v>315.5</v>
      </c>
      <c r="AG10" s="1"/>
    </row>
    <row r="11" spans="1:33">
      <c r="Q11" s="4"/>
      <c r="AG11" s="1"/>
    </row>
    <row r="12" spans="1:33">
      <c r="A12" s="2" t="s">
        <v>39</v>
      </c>
      <c r="Q12" s="4"/>
      <c r="AG12" s="1"/>
    </row>
    <row r="13" spans="1:33">
      <c r="B13" s="2" t="s">
        <v>85</v>
      </c>
      <c r="C13" s="4">
        <v>429</v>
      </c>
      <c r="D13" s="4">
        <f>ROUNDUP(1000*C13/MAX(C$13:C$19),2)</f>
        <v>1000</v>
      </c>
      <c r="E13" s="4">
        <v>433.5</v>
      </c>
      <c r="F13" s="4">
        <f>ROUNDUP(1000*E13/MAX(E$13:E$19),2)</f>
        <v>1000</v>
      </c>
      <c r="G13" s="4">
        <v>469.75</v>
      </c>
      <c r="H13" s="4">
        <f>ROUNDUP(1000*G13/MAX(G$13:G$19),2)</f>
        <v>1000</v>
      </c>
      <c r="I13" s="4">
        <v>412.5</v>
      </c>
      <c r="J13" s="4">
        <f>ROUNDUP(1000*I13/MAX(I$13:I$19),2)</f>
        <v>1000</v>
      </c>
      <c r="K13" s="4">
        <v>425.5</v>
      </c>
      <c r="L13" s="4">
        <f>ROUNDUP(1000*K13/MAX(K$13:K$19),2)</f>
        <v>1000</v>
      </c>
      <c r="M13" s="4"/>
      <c r="N13" s="4">
        <f t="shared" ref="N13:N19" si="3">LARGE(U13:Y13,1)+LARGE(U13:Y13,2)+LARGE(U13:Y13,3)</f>
        <v>3000</v>
      </c>
      <c r="P13" s="4">
        <f>ROUND(10*N13/MAX(N$13:N$19),2)</f>
        <v>10</v>
      </c>
      <c r="Q13" s="4">
        <f>100*(LARGE(AA13:AE13,1)+LARGE(AA13:AE13,2)+LARGE(AA13:AE13,3))/1800</f>
        <v>74.013888888888886</v>
      </c>
      <c r="R13" s="6">
        <f>IFERROR(VLOOKUP(Q13,'Bonus Points'!$A$3:$B$21,2),0)</f>
        <v>17</v>
      </c>
      <c r="S13" s="4">
        <f t="shared" ref="S13:S19" si="4">P13+R13</f>
        <v>27</v>
      </c>
      <c r="U13" s="4">
        <f>D13</f>
        <v>1000</v>
      </c>
      <c r="V13" s="4">
        <f>F13</f>
        <v>1000</v>
      </c>
      <c r="W13" s="4">
        <f>H13</f>
        <v>1000</v>
      </c>
      <c r="X13" s="4">
        <f>J13</f>
        <v>1000</v>
      </c>
      <c r="Y13" s="4">
        <f>L13</f>
        <v>1000</v>
      </c>
      <c r="AA13" s="4">
        <f>C13</f>
        <v>429</v>
      </c>
      <c r="AB13" s="4">
        <f>E13</f>
        <v>433.5</v>
      </c>
      <c r="AC13" s="4">
        <f>G13</f>
        <v>469.75</v>
      </c>
      <c r="AD13" s="4">
        <f>I13</f>
        <v>412.5</v>
      </c>
      <c r="AE13" s="4">
        <f>K13</f>
        <v>425.5</v>
      </c>
      <c r="AG13" s="1"/>
    </row>
    <row r="14" spans="1:33">
      <c r="B14" s="2" t="s">
        <v>66</v>
      </c>
      <c r="C14" s="4">
        <v>377.75</v>
      </c>
      <c r="D14" s="4">
        <f t="shared" ref="D14:F19" si="5">ROUNDUP(1000*C14/MAX(C$13:C$19),2)</f>
        <v>880.54</v>
      </c>
      <c r="E14" s="4">
        <v>400.5</v>
      </c>
      <c r="F14" s="4">
        <f t="shared" si="5"/>
        <v>923.88</v>
      </c>
      <c r="G14" s="4">
        <v>367.5</v>
      </c>
      <c r="H14" s="4">
        <f t="shared" ref="H14" si="6">ROUNDUP(1000*G14/MAX(G$13:G$19),2)</f>
        <v>782.34</v>
      </c>
      <c r="I14" s="4">
        <v>366.25</v>
      </c>
      <c r="J14" s="4">
        <f t="shared" ref="J14" si="7">ROUNDUP(1000*I14/MAX(I$13:I$19),2)</f>
        <v>887.88</v>
      </c>
      <c r="K14" s="4">
        <v>390.25</v>
      </c>
      <c r="L14" s="4">
        <f t="shared" ref="L14" si="8">ROUNDUP(1000*K14/MAX(K$13:K$19),2)</f>
        <v>917.16</v>
      </c>
      <c r="M14" s="4"/>
      <c r="N14" s="4">
        <f t="shared" si="3"/>
        <v>2728.92</v>
      </c>
      <c r="P14" s="4">
        <f t="shared" ref="P14:P19" si="9">ROUND(10*N14/MAX(N$13:N$19),2)</f>
        <v>9.1</v>
      </c>
      <c r="Q14" s="4">
        <f t="shared" ref="Q14:Q19" si="10">100*(LARGE(AA14:AE14,1)+LARGE(AA14:AE14,2)+LARGE(AA14:AE14,3))/1800</f>
        <v>64.916666666666671</v>
      </c>
      <c r="R14" s="6">
        <f>IFERROR(VLOOKUP(Q14,'Bonus Points'!$A$3:$B$21,2),0)</f>
        <v>13</v>
      </c>
      <c r="S14" s="4">
        <f t="shared" si="4"/>
        <v>22.1</v>
      </c>
      <c r="U14" s="4">
        <f t="shared" ref="U14:U19" si="11">D14</f>
        <v>880.54</v>
      </c>
      <c r="V14" s="4">
        <f t="shared" ref="V14:V19" si="12">F14</f>
        <v>923.88</v>
      </c>
      <c r="W14" s="4">
        <f t="shared" ref="W14:W19" si="13">H14</f>
        <v>782.34</v>
      </c>
      <c r="X14" s="4">
        <f t="shared" ref="X14:X19" si="14">J14</f>
        <v>887.88</v>
      </c>
      <c r="Y14" s="4">
        <f t="shared" ref="Y14:Y19" si="15">L14</f>
        <v>917.16</v>
      </c>
      <c r="AA14" s="4">
        <f t="shared" ref="AA14:AA19" si="16">C14</f>
        <v>377.75</v>
      </c>
      <c r="AB14" s="4">
        <f t="shared" ref="AB14:AB19" si="17">E14</f>
        <v>400.5</v>
      </c>
      <c r="AC14" s="4">
        <f t="shared" ref="AC14:AC19" si="18">G14</f>
        <v>367.5</v>
      </c>
      <c r="AD14" s="4">
        <f t="shared" ref="AD14:AD19" si="19">I14</f>
        <v>366.25</v>
      </c>
      <c r="AE14" s="4">
        <f t="shared" ref="AE14:AE19" si="20">K14</f>
        <v>390.25</v>
      </c>
      <c r="AG14" s="1"/>
    </row>
    <row r="15" spans="1:33">
      <c r="B15" s="2" t="s">
        <v>4</v>
      </c>
      <c r="C15" s="4">
        <v>348</v>
      </c>
      <c r="D15" s="4">
        <f t="shared" si="5"/>
        <v>811.18999999999994</v>
      </c>
      <c r="E15" s="4">
        <v>351</v>
      </c>
      <c r="F15" s="4">
        <f t="shared" si="5"/>
        <v>809.68999999999994</v>
      </c>
      <c r="G15" s="4">
        <v>360</v>
      </c>
      <c r="H15" s="4">
        <f t="shared" ref="H15" si="21">ROUNDUP(1000*G15/MAX(G$13:G$19),2)</f>
        <v>766.37</v>
      </c>
      <c r="I15" s="4">
        <v>307</v>
      </c>
      <c r="J15" s="4">
        <f t="shared" ref="J15" si="22">ROUNDUP(1000*I15/MAX(I$13:I$19),2)</f>
        <v>744.25</v>
      </c>
      <c r="K15" s="4">
        <v>378.5</v>
      </c>
      <c r="L15" s="4">
        <f t="shared" ref="L15" si="23">ROUNDUP(1000*K15/MAX(K$13:K$19),2)</f>
        <v>889.55</v>
      </c>
      <c r="M15" s="4"/>
      <c r="N15" s="4">
        <f t="shared" si="3"/>
        <v>2510.4299999999998</v>
      </c>
      <c r="P15" s="4">
        <f t="shared" si="9"/>
        <v>8.3699999999999992</v>
      </c>
      <c r="Q15" s="4">
        <f t="shared" si="10"/>
        <v>60.527777777777779</v>
      </c>
      <c r="R15" s="6">
        <f>IFERROR(VLOOKUP(Q15,'Bonus Points'!$A$3:$B$21,2),0)</f>
        <v>12</v>
      </c>
      <c r="S15" s="4">
        <f t="shared" si="4"/>
        <v>20.369999999999997</v>
      </c>
      <c r="U15" s="4">
        <f t="shared" si="11"/>
        <v>811.18999999999994</v>
      </c>
      <c r="V15" s="4">
        <f t="shared" si="12"/>
        <v>809.68999999999994</v>
      </c>
      <c r="W15" s="4">
        <f t="shared" si="13"/>
        <v>766.37</v>
      </c>
      <c r="X15" s="4">
        <f t="shared" si="14"/>
        <v>744.25</v>
      </c>
      <c r="Y15" s="4">
        <f t="shared" si="15"/>
        <v>889.55</v>
      </c>
      <c r="AA15" s="4">
        <f t="shared" si="16"/>
        <v>348</v>
      </c>
      <c r="AB15" s="4">
        <f t="shared" si="17"/>
        <v>351</v>
      </c>
      <c r="AC15" s="4">
        <f t="shared" si="18"/>
        <v>360</v>
      </c>
      <c r="AD15" s="4">
        <f t="shared" si="19"/>
        <v>307</v>
      </c>
      <c r="AE15" s="4">
        <f t="shared" si="20"/>
        <v>378.5</v>
      </c>
      <c r="AG15" s="1"/>
    </row>
    <row r="16" spans="1:33">
      <c r="B16" s="2" t="s">
        <v>16</v>
      </c>
      <c r="C16" s="4">
        <v>335</v>
      </c>
      <c r="D16" s="4">
        <f t="shared" si="5"/>
        <v>780.89</v>
      </c>
      <c r="E16" s="4">
        <v>201.5</v>
      </c>
      <c r="F16" s="4">
        <f t="shared" si="5"/>
        <v>464.83</v>
      </c>
      <c r="G16" s="4">
        <v>341.5</v>
      </c>
      <c r="H16" s="4">
        <f t="shared" ref="H16" si="24">ROUNDUP(1000*G16/MAX(G$13:G$19),2)</f>
        <v>726.99</v>
      </c>
      <c r="I16" s="4">
        <v>327.75</v>
      </c>
      <c r="J16" s="4">
        <f t="shared" ref="J16" si="25">ROUNDUP(1000*I16/MAX(I$13:I$19),2)</f>
        <v>794.55</v>
      </c>
      <c r="K16" s="4">
        <v>345.25</v>
      </c>
      <c r="L16" s="4">
        <f t="shared" ref="L16" si="26">ROUNDUP(1000*K16/MAX(K$13:K$19),2)</f>
        <v>811.4</v>
      </c>
      <c r="M16" s="4"/>
      <c r="N16" s="4">
        <f t="shared" si="3"/>
        <v>2386.8399999999997</v>
      </c>
      <c r="P16" s="4">
        <f t="shared" si="9"/>
        <v>7.96</v>
      </c>
      <c r="Q16" s="4">
        <f t="shared" si="10"/>
        <v>56.763888888888886</v>
      </c>
      <c r="R16" s="6">
        <f>IFERROR(VLOOKUP(Q16,'Bonus Points'!$A$3:$B$21,2),0)</f>
        <v>10</v>
      </c>
      <c r="S16" s="4">
        <f t="shared" si="4"/>
        <v>17.96</v>
      </c>
      <c r="U16" s="4">
        <f t="shared" si="11"/>
        <v>780.89</v>
      </c>
      <c r="V16" s="4">
        <f t="shared" si="12"/>
        <v>464.83</v>
      </c>
      <c r="W16" s="4">
        <f t="shared" si="13"/>
        <v>726.99</v>
      </c>
      <c r="X16" s="4">
        <f t="shared" si="14"/>
        <v>794.55</v>
      </c>
      <c r="Y16" s="4">
        <f t="shared" si="15"/>
        <v>811.4</v>
      </c>
      <c r="AA16" s="4">
        <f t="shared" si="16"/>
        <v>335</v>
      </c>
      <c r="AB16" s="4">
        <f t="shared" si="17"/>
        <v>201.5</v>
      </c>
      <c r="AC16" s="4">
        <f t="shared" si="18"/>
        <v>341.5</v>
      </c>
      <c r="AD16" s="4">
        <f t="shared" si="19"/>
        <v>327.75</v>
      </c>
      <c r="AE16" s="4">
        <f t="shared" si="20"/>
        <v>345.25</v>
      </c>
      <c r="AG16" s="1"/>
    </row>
    <row r="17" spans="1:33">
      <c r="B17" s="2" t="s">
        <v>32</v>
      </c>
      <c r="C17" s="4">
        <v>343</v>
      </c>
      <c r="D17" s="4">
        <f t="shared" si="5"/>
        <v>799.54</v>
      </c>
      <c r="E17" s="4">
        <v>325.5</v>
      </c>
      <c r="F17" s="4">
        <f t="shared" si="5"/>
        <v>750.87</v>
      </c>
      <c r="G17" s="4">
        <v>300.5</v>
      </c>
      <c r="H17" s="4">
        <f t="shared" ref="H17" si="27">ROUNDUP(1000*G17/MAX(G$13:G$19),2)</f>
        <v>639.71</v>
      </c>
      <c r="I17" s="4">
        <v>314</v>
      </c>
      <c r="J17" s="4">
        <f t="shared" ref="J17" si="28">ROUNDUP(1000*I17/MAX(I$13:I$19),2)</f>
        <v>761.22</v>
      </c>
      <c r="K17" s="4">
        <v>314.75</v>
      </c>
      <c r="L17" s="4">
        <f t="shared" ref="L17" si="29">ROUNDUP(1000*K17/MAX(K$13:K$19),2)</f>
        <v>739.72</v>
      </c>
      <c r="M17" s="4"/>
      <c r="N17" s="4">
        <f t="shared" si="3"/>
        <v>2311.63</v>
      </c>
      <c r="P17" s="4">
        <f t="shared" si="9"/>
        <v>7.71</v>
      </c>
      <c r="Q17" s="4">
        <f t="shared" si="10"/>
        <v>54.625</v>
      </c>
      <c r="R17" s="6">
        <f>IFERROR(VLOOKUP(Q17,'Bonus Points'!$A$3:$B$21,2),0)</f>
        <v>9</v>
      </c>
      <c r="S17" s="4">
        <f t="shared" si="4"/>
        <v>16.71</v>
      </c>
      <c r="U17" s="4">
        <f t="shared" si="11"/>
        <v>799.54</v>
      </c>
      <c r="V17" s="4">
        <f t="shared" si="12"/>
        <v>750.87</v>
      </c>
      <c r="W17" s="4">
        <f t="shared" si="13"/>
        <v>639.71</v>
      </c>
      <c r="X17" s="4">
        <f t="shared" si="14"/>
        <v>761.22</v>
      </c>
      <c r="Y17" s="4">
        <f t="shared" si="15"/>
        <v>739.72</v>
      </c>
      <c r="AA17" s="4">
        <f t="shared" si="16"/>
        <v>343</v>
      </c>
      <c r="AB17" s="4">
        <f t="shared" si="17"/>
        <v>325.5</v>
      </c>
      <c r="AC17" s="4">
        <f t="shared" si="18"/>
        <v>300.5</v>
      </c>
      <c r="AD17" s="4">
        <f t="shared" si="19"/>
        <v>314</v>
      </c>
      <c r="AE17" s="4">
        <f t="shared" si="20"/>
        <v>314.75</v>
      </c>
      <c r="AG17" s="1"/>
    </row>
    <row r="18" spans="1:33">
      <c r="B18" s="2" t="s">
        <v>25</v>
      </c>
      <c r="C18" s="4">
        <v>303.25</v>
      </c>
      <c r="D18" s="4">
        <f t="shared" si="5"/>
        <v>706.88</v>
      </c>
      <c r="E18" s="4">
        <v>303.25</v>
      </c>
      <c r="F18" s="4">
        <f t="shared" si="5"/>
        <v>699.54</v>
      </c>
      <c r="G18" s="4">
        <v>299.75</v>
      </c>
      <c r="H18" s="4">
        <f t="shared" ref="H18" si="30">ROUNDUP(1000*G18/MAX(G$13:G$19),2)</f>
        <v>638.11</v>
      </c>
      <c r="I18" s="4">
        <v>289.25</v>
      </c>
      <c r="J18" s="4">
        <f t="shared" ref="J18" si="31">ROUNDUP(1000*I18/MAX(I$13:I$19),2)</f>
        <v>701.22</v>
      </c>
      <c r="K18" s="4">
        <v>310.5</v>
      </c>
      <c r="L18" s="4">
        <f t="shared" ref="L18" si="32">ROUNDUP(1000*K18/MAX(K$13:K$19),2)</f>
        <v>729.73</v>
      </c>
      <c r="M18" s="4"/>
      <c r="N18" s="4">
        <f t="shared" si="3"/>
        <v>2137.83</v>
      </c>
      <c r="P18" s="4">
        <f t="shared" si="9"/>
        <v>7.13</v>
      </c>
      <c r="Q18" s="4">
        <f t="shared" si="10"/>
        <v>50.944444444444443</v>
      </c>
      <c r="R18" s="6">
        <f>IFERROR(VLOOKUP(Q18,'Bonus Points'!$A$3:$B$21,2),0)</f>
        <v>8</v>
      </c>
      <c r="S18" s="4">
        <f t="shared" si="4"/>
        <v>15.129999999999999</v>
      </c>
      <c r="U18" s="4">
        <f t="shared" si="11"/>
        <v>706.88</v>
      </c>
      <c r="V18" s="4">
        <f t="shared" si="12"/>
        <v>699.54</v>
      </c>
      <c r="W18" s="4">
        <f t="shared" si="13"/>
        <v>638.11</v>
      </c>
      <c r="X18" s="4">
        <f t="shared" si="14"/>
        <v>701.22</v>
      </c>
      <c r="Y18" s="4">
        <f t="shared" si="15"/>
        <v>729.73</v>
      </c>
      <c r="AA18" s="4">
        <f t="shared" si="16"/>
        <v>303.25</v>
      </c>
      <c r="AB18" s="4">
        <f t="shared" si="17"/>
        <v>303.25</v>
      </c>
      <c r="AC18" s="4">
        <f t="shared" si="18"/>
        <v>299.75</v>
      </c>
      <c r="AD18" s="4">
        <f t="shared" si="19"/>
        <v>289.25</v>
      </c>
      <c r="AE18" s="4">
        <f t="shared" si="20"/>
        <v>310.5</v>
      </c>
      <c r="AG18" s="1"/>
    </row>
    <row r="19" spans="1:33">
      <c r="B19" s="2" t="s">
        <v>86</v>
      </c>
      <c r="C19" s="4">
        <v>291.5</v>
      </c>
      <c r="D19" s="4">
        <f t="shared" si="5"/>
        <v>679.49</v>
      </c>
      <c r="E19" s="4">
        <v>256.75</v>
      </c>
      <c r="F19" s="4">
        <f t="shared" si="5"/>
        <v>592.28</v>
      </c>
      <c r="G19" s="4">
        <v>265.5</v>
      </c>
      <c r="H19" s="4">
        <f t="shared" ref="H19" si="33">ROUNDUP(1000*G19/MAX(G$13:G$19),2)</f>
        <v>565.20000000000005</v>
      </c>
      <c r="I19" s="4">
        <v>304</v>
      </c>
      <c r="J19" s="4">
        <f t="shared" ref="J19" si="34">ROUNDUP(1000*I19/MAX(I$13:I$19),2)</f>
        <v>736.97</v>
      </c>
      <c r="K19" s="4">
        <v>298.25</v>
      </c>
      <c r="L19" s="4">
        <f t="shared" ref="L19" si="35">ROUNDUP(1000*K19/MAX(K$13:K$19),2)</f>
        <v>700.95</v>
      </c>
      <c r="M19" s="4"/>
      <c r="N19" s="4">
        <f t="shared" si="3"/>
        <v>2117.41</v>
      </c>
      <c r="P19" s="4">
        <f t="shared" si="9"/>
        <v>7.06</v>
      </c>
      <c r="Q19" s="4">
        <f t="shared" si="10"/>
        <v>49.652777777777779</v>
      </c>
      <c r="R19" s="6">
        <f>IFERROR(VLOOKUP(Q19,'Bonus Points'!$A$3:$B$21,2),0)</f>
        <v>7</v>
      </c>
      <c r="S19" s="4">
        <f t="shared" si="4"/>
        <v>14.059999999999999</v>
      </c>
      <c r="U19" s="4">
        <f t="shared" si="11"/>
        <v>679.49</v>
      </c>
      <c r="V19" s="4">
        <f t="shared" si="12"/>
        <v>592.28</v>
      </c>
      <c r="W19" s="4">
        <f t="shared" si="13"/>
        <v>565.20000000000005</v>
      </c>
      <c r="X19" s="4">
        <f t="shared" si="14"/>
        <v>736.97</v>
      </c>
      <c r="Y19" s="4">
        <f t="shared" si="15"/>
        <v>700.95</v>
      </c>
      <c r="AA19" s="4">
        <f t="shared" si="16"/>
        <v>291.5</v>
      </c>
      <c r="AB19" s="4">
        <f t="shared" si="17"/>
        <v>256.75</v>
      </c>
      <c r="AC19" s="4">
        <f t="shared" si="18"/>
        <v>265.5</v>
      </c>
      <c r="AD19" s="4">
        <f t="shared" si="19"/>
        <v>304</v>
      </c>
      <c r="AE19" s="4">
        <f t="shared" si="20"/>
        <v>298.25</v>
      </c>
      <c r="AG19" s="1"/>
    </row>
    <row r="20" spans="1:33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P20" s="4"/>
      <c r="Q20" s="4"/>
      <c r="R20" s="6"/>
      <c r="S20" s="4"/>
      <c r="U20" s="4"/>
      <c r="V20" s="4"/>
      <c r="W20" s="4"/>
      <c r="X20" s="4"/>
      <c r="Y20" s="4"/>
      <c r="AA20" s="4"/>
      <c r="AB20" s="4"/>
      <c r="AC20" s="4"/>
      <c r="AD20" s="4"/>
      <c r="AE20" s="4"/>
      <c r="AG20" s="1"/>
    </row>
    <row r="21" spans="1:33">
      <c r="Q21" s="4"/>
      <c r="R21" s="6"/>
      <c r="AG21" s="1"/>
    </row>
    <row r="22" spans="1:33">
      <c r="A22" s="2" t="s">
        <v>80</v>
      </c>
      <c r="C22" s="2" t="s">
        <v>88</v>
      </c>
      <c r="E22" s="2" t="s">
        <v>89</v>
      </c>
      <c r="G22" s="2" t="s">
        <v>90</v>
      </c>
      <c r="I22" s="2" t="s">
        <v>91</v>
      </c>
      <c r="K22" s="2" t="s">
        <v>92</v>
      </c>
      <c r="Q22" s="4"/>
      <c r="R22" s="6"/>
      <c r="AG22" s="1"/>
    </row>
    <row r="23" spans="1:33">
      <c r="B23" s="2" t="s">
        <v>41</v>
      </c>
      <c r="C23" s="4">
        <v>473.17</v>
      </c>
      <c r="D23" s="4">
        <f>ROUNDUP(1000*C23/MAX(C$23:C$31),2)</f>
        <v>980.67</v>
      </c>
      <c r="E23" s="4">
        <v>478.83</v>
      </c>
      <c r="F23" s="4">
        <f>ROUNDUP(1000*E23/MAX(E$23:E$31),2)</f>
        <v>994.81</v>
      </c>
      <c r="G23" s="4">
        <v>488</v>
      </c>
      <c r="H23" s="4">
        <f t="shared" ref="H23:H32" si="36">ROUNDUP(1000*G23/MAX(G$23:G$31),2)</f>
        <v>1000</v>
      </c>
      <c r="I23" s="4">
        <v>557.83000000000004</v>
      </c>
      <c r="J23" s="4">
        <f t="shared" ref="J23:J32" si="37">ROUNDUP(1000*I23/MAX(I$23:I$31),2)</f>
        <v>1000</v>
      </c>
      <c r="K23" s="4">
        <v>580.33000000000004</v>
      </c>
      <c r="L23" s="4">
        <f>ROUNDUP(1000*K23/MAX(K$23:K$31),2)</f>
        <v>1000</v>
      </c>
      <c r="N23" s="4">
        <f>LARGE(U23:W23,1)+LARGE(U23:W23,2)+LARGE(X23:Y23,1)</f>
        <v>2994.81</v>
      </c>
      <c r="Q23" s="4"/>
      <c r="R23" s="6"/>
      <c r="U23" s="4">
        <f t="shared" ref="U23" si="38">D23</f>
        <v>980.67</v>
      </c>
      <c r="V23" s="4">
        <f t="shared" ref="V23" si="39">F23</f>
        <v>994.81</v>
      </c>
      <c r="W23" s="4">
        <f>H23</f>
        <v>1000</v>
      </c>
      <c r="X23" s="4">
        <f>J23</f>
        <v>1000</v>
      </c>
      <c r="Y23" s="4">
        <f>L23</f>
        <v>1000</v>
      </c>
      <c r="AA23" s="4"/>
      <c r="AB23" s="4"/>
      <c r="AC23" s="4"/>
      <c r="AD23" s="4"/>
      <c r="AE23" s="4"/>
      <c r="AG23" s="1">
        <f>1000*N23/MAX(N$23:N$32)</f>
        <v>1000</v>
      </c>
    </row>
    <row r="24" spans="1:33">
      <c r="B24" s="2" t="s">
        <v>42</v>
      </c>
      <c r="C24" s="4">
        <v>482.5</v>
      </c>
      <c r="D24" s="4">
        <f t="shared" ref="D24:F32" si="40">ROUNDUP(1000*C24/MAX(C$23:C$31),2)</f>
        <v>1000</v>
      </c>
      <c r="E24" s="4">
        <v>481.33</v>
      </c>
      <c r="F24" s="4">
        <f t="shared" si="40"/>
        <v>1000</v>
      </c>
      <c r="G24" s="4">
        <v>0</v>
      </c>
      <c r="H24" s="4">
        <f t="shared" si="36"/>
        <v>0</v>
      </c>
      <c r="I24" s="4">
        <v>549.66999999999996</v>
      </c>
      <c r="J24" s="4">
        <f t="shared" si="37"/>
        <v>985.38</v>
      </c>
      <c r="K24" s="4">
        <v>0</v>
      </c>
      <c r="L24" s="4">
        <f t="shared" ref="L24" si="41">ROUNDUP(1000*K24/MAX(K$23:K$31),2)</f>
        <v>0</v>
      </c>
      <c r="N24" s="4">
        <f t="shared" ref="N24:N32" si="42">LARGE(U24:W24,1)+LARGE(U24:W24,2)+LARGE(X24:Y24,1)</f>
        <v>2985.38</v>
      </c>
      <c r="Q24" s="4"/>
      <c r="R24" s="6"/>
      <c r="U24" s="4">
        <f t="shared" ref="U24:U32" si="43">D24</f>
        <v>1000</v>
      </c>
      <c r="V24" s="4">
        <f t="shared" ref="V24:V32" si="44">F24</f>
        <v>1000</v>
      </c>
      <c r="W24" s="4">
        <f t="shared" ref="W24:W32" si="45">H24</f>
        <v>0</v>
      </c>
      <c r="X24" s="4">
        <f t="shared" ref="X24:X32" si="46">J24</f>
        <v>985.38</v>
      </c>
      <c r="Y24" s="4">
        <f t="shared" ref="Y24:Y32" si="47">L24</f>
        <v>0</v>
      </c>
      <c r="AA24" s="4"/>
      <c r="AB24" s="4"/>
      <c r="AC24" s="4"/>
      <c r="AD24" s="4"/>
      <c r="AE24" s="4"/>
      <c r="AG24" s="1">
        <f t="shared" ref="AG24:AG32" si="48">1000*N24/MAX(N$23:N$32)</f>
        <v>996.85121927601415</v>
      </c>
    </row>
    <row r="25" spans="1:33">
      <c r="B25" s="2" t="s">
        <v>11</v>
      </c>
      <c r="C25" s="4">
        <v>471.5</v>
      </c>
      <c r="D25" s="4">
        <f t="shared" si="40"/>
        <v>977.21</v>
      </c>
      <c r="E25" s="4">
        <v>467.5</v>
      </c>
      <c r="F25" s="4">
        <f t="shared" si="40"/>
        <v>971.27</v>
      </c>
      <c r="G25" s="4">
        <v>485</v>
      </c>
      <c r="H25" s="4">
        <f t="shared" si="36"/>
        <v>993.86</v>
      </c>
      <c r="I25" s="4">
        <v>542.66999999999996</v>
      </c>
      <c r="J25" s="4">
        <f t="shared" si="37"/>
        <v>972.83</v>
      </c>
      <c r="K25" s="4">
        <v>562.5</v>
      </c>
      <c r="L25" s="4">
        <f t="shared" ref="L25" si="49">ROUNDUP(1000*K25/MAX(K$23:K$31),2)</f>
        <v>969.28</v>
      </c>
      <c r="N25" s="4">
        <f t="shared" si="42"/>
        <v>2943.9</v>
      </c>
      <c r="Q25" s="4"/>
      <c r="R25" s="6"/>
      <c r="U25" s="4">
        <f t="shared" si="43"/>
        <v>977.21</v>
      </c>
      <c r="V25" s="4">
        <f t="shared" si="44"/>
        <v>971.27</v>
      </c>
      <c r="W25" s="4">
        <f t="shared" si="45"/>
        <v>993.86</v>
      </c>
      <c r="X25" s="4">
        <f t="shared" si="46"/>
        <v>972.83</v>
      </c>
      <c r="Y25" s="4">
        <f t="shared" si="47"/>
        <v>969.28</v>
      </c>
      <c r="AA25" s="4"/>
      <c r="AB25" s="4"/>
      <c r="AC25" s="4"/>
      <c r="AD25" s="4"/>
      <c r="AE25" s="4"/>
      <c r="AG25" s="1">
        <f t="shared" si="48"/>
        <v>983.00059102246894</v>
      </c>
    </row>
    <row r="26" spans="1:33">
      <c r="B26" s="2" t="s">
        <v>10</v>
      </c>
      <c r="C26" s="4">
        <v>470.5</v>
      </c>
      <c r="D26" s="4">
        <f t="shared" si="40"/>
        <v>975.13</v>
      </c>
      <c r="E26" s="4">
        <v>465.5</v>
      </c>
      <c r="F26" s="4">
        <f t="shared" si="40"/>
        <v>967.12</v>
      </c>
      <c r="G26" s="4">
        <v>468.67</v>
      </c>
      <c r="H26" s="4">
        <f t="shared" si="36"/>
        <v>960.39</v>
      </c>
      <c r="I26" s="4">
        <v>530.16999999999996</v>
      </c>
      <c r="J26" s="4">
        <f t="shared" si="37"/>
        <v>950.42</v>
      </c>
      <c r="K26" s="4">
        <v>541</v>
      </c>
      <c r="L26" s="4">
        <f t="shared" ref="L26" si="50">ROUNDUP(1000*K26/MAX(K$23:K$31),2)</f>
        <v>932.23</v>
      </c>
      <c r="N26" s="4">
        <f t="shared" si="42"/>
        <v>2892.67</v>
      </c>
      <c r="U26" s="4">
        <f t="shared" si="43"/>
        <v>975.13</v>
      </c>
      <c r="V26" s="4">
        <f t="shared" si="44"/>
        <v>967.12</v>
      </c>
      <c r="W26" s="4">
        <f t="shared" si="45"/>
        <v>960.39</v>
      </c>
      <c r="X26" s="4">
        <f t="shared" si="46"/>
        <v>950.42</v>
      </c>
      <c r="Y26" s="4">
        <f t="shared" si="47"/>
        <v>932.23</v>
      </c>
      <c r="AA26" s="4"/>
      <c r="AB26" s="4"/>
      <c r="AC26" s="4"/>
      <c r="AD26" s="4"/>
      <c r="AE26" s="4"/>
      <c r="AG26" s="1">
        <f t="shared" si="48"/>
        <v>965.89433052514187</v>
      </c>
    </row>
    <row r="27" spans="1:33">
      <c r="B27" s="2" t="s">
        <v>60</v>
      </c>
      <c r="C27" s="4">
        <v>444.83</v>
      </c>
      <c r="D27" s="4">
        <f t="shared" si="40"/>
        <v>921.93</v>
      </c>
      <c r="E27" s="4">
        <v>463.5</v>
      </c>
      <c r="F27" s="4">
        <f t="shared" si="40"/>
        <v>962.96</v>
      </c>
      <c r="G27" s="4">
        <v>468.5</v>
      </c>
      <c r="H27" s="4">
        <f t="shared" si="36"/>
        <v>960.05</v>
      </c>
      <c r="I27" s="4">
        <v>529.83000000000004</v>
      </c>
      <c r="J27" s="4">
        <f t="shared" si="37"/>
        <v>949.81</v>
      </c>
      <c r="K27" s="4">
        <v>524.83000000000004</v>
      </c>
      <c r="L27" s="4">
        <f t="shared" ref="L27" si="51">ROUNDUP(1000*K27/MAX(K$23:K$31),2)</f>
        <v>904.37</v>
      </c>
      <c r="N27" s="4">
        <f t="shared" si="42"/>
        <v>2872.8199999999997</v>
      </c>
      <c r="U27" s="4">
        <f t="shared" si="43"/>
        <v>921.93</v>
      </c>
      <c r="V27" s="4">
        <f t="shared" si="44"/>
        <v>962.96</v>
      </c>
      <c r="W27" s="4">
        <f t="shared" si="45"/>
        <v>960.05</v>
      </c>
      <c r="X27" s="4">
        <f t="shared" si="46"/>
        <v>949.81</v>
      </c>
      <c r="Y27" s="4">
        <f t="shared" si="47"/>
        <v>904.37</v>
      </c>
      <c r="AA27" s="4"/>
      <c r="AB27" s="4"/>
      <c r="AC27" s="4"/>
      <c r="AD27" s="4"/>
      <c r="AE27" s="4"/>
      <c r="AG27" s="1">
        <f t="shared" si="48"/>
        <v>959.26619718780148</v>
      </c>
    </row>
    <row r="28" spans="1:33">
      <c r="B28" s="2" t="s">
        <v>43</v>
      </c>
      <c r="C28" s="4">
        <v>468.67</v>
      </c>
      <c r="D28" s="4">
        <f t="shared" si="40"/>
        <v>971.34</v>
      </c>
      <c r="E28" s="4">
        <v>453.33</v>
      </c>
      <c r="F28" s="4">
        <f t="shared" si="40"/>
        <v>941.83</v>
      </c>
      <c r="G28" s="4">
        <v>456.17</v>
      </c>
      <c r="H28" s="4">
        <f t="shared" si="36"/>
        <v>934.78</v>
      </c>
      <c r="I28" s="4">
        <v>502.83</v>
      </c>
      <c r="J28" s="4">
        <f t="shared" si="37"/>
        <v>901.41</v>
      </c>
      <c r="K28" s="4">
        <v>523.33000000000004</v>
      </c>
      <c r="L28" s="4">
        <f t="shared" ref="L28" si="52">ROUNDUP(1000*K28/MAX(K$23:K$31),2)</f>
        <v>901.79</v>
      </c>
      <c r="N28" s="4">
        <f t="shared" si="42"/>
        <v>2814.96</v>
      </c>
      <c r="U28" s="4">
        <f t="shared" si="43"/>
        <v>971.34</v>
      </c>
      <c r="V28" s="4">
        <f t="shared" si="44"/>
        <v>941.83</v>
      </c>
      <c r="W28" s="4">
        <f t="shared" si="45"/>
        <v>934.78</v>
      </c>
      <c r="X28" s="4">
        <f t="shared" si="46"/>
        <v>901.41</v>
      </c>
      <c r="Y28" s="4">
        <f t="shared" si="47"/>
        <v>901.79</v>
      </c>
      <c r="AA28" s="4"/>
      <c r="AB28" s="4"/>
      <c r="AC28" s="4"/>
      <c r="AD28" s="4"/>
      <c r="AE28" s="4"/>
      <c r="AG28" s="1">
        <f t="shared" si="48"/>
        <v>939.9461067647029</v>
      </c>
    </row>
    <row r="29" spans="1:33">
      <c r="B29" s="2" t="s">
        <v>12</v>
      </c>
      <c r="C29" s="4">
        <v>435.5</v>
      </c>
      <c r="D29" s="4">
        <f t="shared" si="40"/>
        <v>902.6</v>
      </c>
      <c r="E29" s="4">
        <v>438.33</v>
      </c>
      <c r="F29" s="4">
        <f t="shared" si="40"/>
        <v>910.67</v>
      </c>
      <c r="G29" s="4">
        <v>458.67</v>
      </c>
      <c r="H29" s="4">
        <f t="shared" si="36"/>
        <v>939.9</v>
      </c>
      <c r="I29" s="4">
        <v>502.83</v>
      </c>
      <c r="J29" s="4">
        <f t="shared" si="37"/>
        <v>901.41</v>
      </c>
      <c r="K29" s="4">
        <v>531.5</v>
      </c>
      <c r="L29" s="4">
        <f t="shared" ref="L29" si="53">ROUNDUP(1000*K29/MAX(K$23:K$31),2)</f>
        <v>915.86</v>
      </c>
      <c r="N29" s="4">
        <f t="shared" si="42"/>
        <v>2766.43</v>
      </c>
      <c r="U29" s="4">
        <f t="shared" si="43"/>
        <v>902.6</v>
      </c>
      <c r="V29" s="4">
        <f t="shared" si="44"/>
        <v>910.67</v>
      </c>
      <c r="W29" s="4">
        <f t="shared" si="45"/>
        <v>939.9</v>
      </c>
      <c r="X29" s="4">
        <f t="shared" si="46"/>
        <v>901.41</v>
      </c>
      <c r="Y29" s="4">
        <f t="shared" si="47"/>
        <v>915.86</v>
      </c>
      <c r="AG29" s="1">
        <f t="shared" si="48"/>
        <v>923.74140596565394</v>
      </c>
    </row>
    <row r="30" spans="1:33">
      <c r="B30" s="2" t="s">
        <v>29</v>
      </c>
      <c r="C30" s="4">
        <v>436.83</v>
      </c>
      <c r="D30" s="4">
        <f t="shared" si="40"/>
        <v>905.35</v>
      </c>
      <c r="E30" s="4">
        <v>426.17</v>
      </c>
      <c r="F30" s="4">
        <f t="shared" si="40"/>
        <v>885.41</v>
      </c>
      <c r="G30" s="4">
        <v>421.17</v>
      </c>
      <c r="H30" s="4">
        <f t="shared" si="36"/>
        <v>863.06</v>
      </c>
      <c r="I30" s="4">
        <v>465</v>
      </c>
      <c r="J30" s="4">
        <f t="shared" si="37"/>
        <v>833.59</v>
      </c>
      <c r="K30" s="4">
        <v>475.67</v>
      </c>
      <c r="L30" s="4">
        <f t="shared" ref="L30" si="54">ROUNDUP(1000*K30/MAX(K$23:K$31),2)</f>
        <v>819.66</v>
      </c>
      <c r="N30" s="4">
        <f t="shared" si="42"/>
        <v>2624.35</v>
      </c>
      <c r="U30" s="4">
        <f t="shared" si="43"/>
        <v>905.35</v>
      </c>
      <c r="V30" s="4">
        <f t="shared" si="44"/>
        <v>885.41</v>
      </c>
      <c r="W30" s="4">
        <f t="shared" si="45"/>
        <v>863.06</v>
      </c>
      <c r="X30" s="4">
        <f t="shared" si="46"/>
        <v>833.59</v>
      </c>
      <c r="Y30" s="4">
        <f t="shared" si="47"/>
        <v>819.66</v>
      </c>
      <c r="AG30" s="1">
        <f t="shared" si="48"/>
        <v>876.29933117626831</v>
      </c>
    </row>
    <row r="31" spans="1:33">
      <c r="B31" s="2" t="s">
        <v>84</v>
      </c>
      <c r="C31" s="4">
        <v>401.67</v>
      </c>
      <c r="D31" s="4">
        <f t="shared" si="40"/>
        <v>832.48</v>
      </c>
      <c r="E31" s="4">
        <v>444.5</v>
      </c>
      <c r="F31" s="4">
        <f t="shared" si="40"/>
        <v>923.49</v>
      </c>
      <c r="G31" s="4">
        <v>0</v>
      </c>
      <c r="H31" s="4">
        <f t="shared" si="36"/>
        <v>0</v>
      </c>
      <c r="I31" s="4">
        <v>446.33</v>
      </c>
      <c r="J31" s="4">
        <f t="shared" si="37"/>
        <v>800.12</v>
      </c>
      <c r="K31" s="4">
        <v>0</v>
      </c>
      <c r="L31" s="4">
        <f t="shared" ref="L31:L32" si="55">ROUNDUP(1000*K31/MAX(K$23:K$31),2)</f>
        <v>0</v>
      </c>
      <c r="N31" s="4">
        <f t="shared" si="42"/>
        <v>2556.09</v>
      </c>
      <c r="U31" s="4">
        <f t="shared" si="43"/>
        <v>832.48</v>
      </c>
      <c r="V31" s="4">
        <f t="shared" si="44"/>
        <v>923.49</v>
      </c>
      <c r="W31" s="4">
        <f t="shared" si="45"/>
        <v>0</v>
      </c>
      <c r="X31" s="4">
        <f t="shared" si="46"/>
        <v>800.12</v>
      </c>
      <c r="Y31" s="4">
        <f t="shared" si="47"/>
        <v>0</v>
      </c>
      <c r="AG31" s="1">
        <f t="shared" si="48"/>
        <v>853.50656635980249</v>
      </c>
    </row>
    <row r="32" spans="1:33">
      <c r="B32" s="2" t="s">
        <v>14</v>
      </c>
      <c r="C32" s="4">
        <v>394.83</v>
      </c>
      <c r="D32" s="4">
        <f t="shared" si="40"/>
        <v>818.31</v>
      </c>
      <c r="E32" s="4">
        <v>397</v>
      </c>
      <c r="F32" s="4">
        <f t="shared" si="40"/>
        <v>824.8</v>
      </c>
      <c r="G32" s="4">
        <v>417.67</v>
      </c>
      <c r="H32" s="4">
        <f t="shared" si="36"/>
        <v>855.89</v>
      </c>
      <c r="I32" s="4">
        <v>435.33</v>
      </c>
      <c r="J32" s="4">
        <f t="shared" si="37"/>
        <v>780.4</v>
      </c>
      <c r="K32" s="4">
        <v>471</v>
      </c>
      <c r="L32" s="4">
        <f t="shared" si="55"/>
        <v>811.61</v>
      </c>
      <c r="N32" s="4">
        <f t="shared" si="42"/>
        <v>2492.3000000000002</v>
      </c>
      <c r="U32" s="4">
        <f t="shared" si="43"/>
        <v>818.31</v>
      </c>
      <c r="V32" s="4">
        <f t="shared" si="44"/>
        <v>824.8</v>
      </c>
      <c r="W32" s="4">
        <f t="shared" si="45"/>
        <v>855.89</v>
      </c>
      <c r="X32" s="4">
        <f t="shared" si="46"/>
        <v>780.4</v>
      </c>
      <c r="Y32" s="4">
        <f t="shared" si="47"/>
        <v>811.61</v>
      </c>
      <c r="AG32" s="1">
        <f t="shared" si="48"/>
        <v>832.20638371048585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FFA7C-BE6A-4A44-A1B1-81B46C21D86E}">
  <dimension ref="A3:O52"/>
  <sheetViews>
    <sheetView tabSelected="1" workbookViewId="0">
      <selection activeCell="A18" sqref="A18"/>
    </sheetView>
  </sheetViews>
  <sheetFormatPr baseColWidth="10" defaultRowHeight="16"/>
  <cols>
    <col min="1" max="1" width="11.83203125" style="2" bestFit="1" customWidth="1"/>
    <col min="2" max="2" width="20.5" style="2" bestFit="1" customWidth="1"/>
    <col min="3" max="4" width="10.83203125" style="2"/>
    <col min="5" max="5" width="13.5" style="2" bestFit="1" customWidth="1"/>
    <col min="6" max="16384" width="10.83203125" style="2"/>
  </cols>
  <sheetData>
    <row r="3" spans="1:15">
      <c r="C3" s="13" t="s">
        <v>26</v>
      </c>
      <c r="D3" s="13" t="s">
        <v>27</v>
      </c>
      <c r="E3" s="13" t="s">
        <v>44</v>
      </c>
      <c r="F3" s="13" t="s">
        <v>36</v>
      </c>
      <c r="G3" s="13" t="s">
        <v>34</v>
      </c>
      <c r="H3" s="13" t="s">
        <v>74</v>
      </c>
      <c r="I3" s="13" t="s">
        <v>75</v>
      </c>
      <c r="J3" s="13" t="s">
        <v>64</v>
      </c>
      <c r="K3" s="13" t="s">
        <v>74</v>
      </c>
      <c r="L3" s="13" t="s">
        <v>34</v>
      </c>
      <c r="M3" s="13" t="s">
        <v>49</v>
      </c>
      <c r="N3" s="13"/>
      <c r="O3" s="13" t="s">
        <v>56</v>
      </c>
    </row>
    <row r="4" spans="1:15">
      <c r="C4" s="15">
        <v>45032</v>
      </c>
      <c r="D4" s="15">
        <v>45046</v>
      </c>
      <c r="E4" s="15">
        <v>45060</v>
      </c>
      <c r="F4" s="15">
        <v>45067</v>
      </c>
      <c r="G4" s="15">
        <v>45080</v>
      </c>
      <c r="H4" s="15">
        <v>45095</v>
      </c>
      <c r="I4" s="15">
        <v>45109</v>
      </c>
      <c r="J4" s="15">
        <v>45151</v>
      </c>
      <c r="K4" s="15">
        <v>45158</v>
      </c>
      <c r="L4" s="15">
        <v>45185</v>
      </c>
      <c r="M4" s="15">
        <v>45200</v>
      </c>
      <c r="N4" s="13"/>
      <c r="O4" s="13"/>
    </row>
    <row r="6" spans="1:15">
      <c r="A6" s="2" t="s">
        <v>0</v>
      </c>
    </row>
    <row r="7" spans="1:15">
      <c r="A7" s="2">
        <v>1</v>
      </c>
      <c r="B7" s="2" t="s">
        <v>23</v>
      </c>
      <c r="C7" s="4">
        <v>0</v>
      </c>
      <c r="D7" s="4">
        <f>'Buckminster 30th April 2023'!$L$3</f>
        <v>24</v>
      </c>
      <c r="E7" s="4">
        <f>'Championships 14th May 2023'!$V$4</f>
        <v>12</v>
      </c>
      <c r="F7" s="4">
        <v>0</v>
      </c>
      <c r="G7" s="4">
        <f>'Knettishall 3rd June 2023'!$N$3</f>
        <v>25</v>
      </c>
      <c r="H7" s="4"/>
      <c r="I7" s="4"/>
      <c r="J7" s="4">
        <f>'Baldock 13th August 2023'!$L$4</f>
        <v>22.66</v>
      </c>
      <c r="K7" s="4"/>
      <c r="L7" s="4">
        <f>'Knettishall 16th September 2023'!$N$3</f>
        <v>23</v>
      </c>
      <c r="M7" s="4">
        <f>'Nationals 1st October 2023'!$S$3</f>
        <v>22</v>
      </c>
      <c r="O7" s="4">
        <f>LARGE(C7:M7,1)+LARGE(C7:M7,2)+LARGE(C7:M7,3)+LARGE(C7:M7,4)+LARGE(C7:M7,5)</f>
        <v>116.66</v>
      </c>
    </row>
    <row r="8" spans="1:15">
      <c r="A8" s="2">
        <v>2</v>
      </c>
      <c r="B8" s="2" t="s">
        <v>67</v>
      </c>
      <c r="C8" s="4">
        <v>0</v>
      </c>
      <c r="D8" s="4"/>
      <c r="E8" s="4"/>
      <c r="F8" s="4">
        <v>0</v>
      </c>
      <c r="G8" s="4">
        <f>'Knettishall 3rd June 2023'!$N$4</f>
        <v>24.89</v>
      </c>
      <c r="H8" s="4"/>
      <c r="I8" s="4"/>
      <c r="J8" s="4"/>
      <c r="K8" s="4"/>
      <c r="L8" s="4">
        <v>0</v>
      </c>
      <c r="M8" s="4">
        <v>0</v>
      </c>
      <c r="O8" s="4">
        <f t="shared" ref="O8:O9" si="0">LARGE(C8:M8,1)+LARGE(C8:M8,2)+LARGE(C8:M8,3)+LARGE(C8:M8,4)+LARGE(C8:M8,5)</f>
        <v>24.89</v>
      </c>
    </row>
    <row r="9" spans="1:15">
      <c r="A9" s="2">
        <v>3</v>
      </c>
      <c r="B9" s="2" t="s">
        <v>87</v>
      </c>
      <c r="C9" s="4">
        <v>0</v>
      </c>
      <c r="D9" s="4"/>
      <c r="E9" s="4"/>
      <c r="F9" s="4">
        <v>0</v>
      </c>
      <c r="G9" s="4"/>
      <c r="H9" s="4"/>
      <c r="I9" s="4"/>
      <c r="J9" s="4"/>
      <c r="K9" s="4">
        <v>0</v>
      </c>
      <c r="L9" s="4">
        <v>0</v>
      </c>
      <c r="M9" s="4">
        <f>'Nationals 1st October 2023'!$S$4</f>
        <v>22.97</v>
      </c>
      <c r="O9" s="4">
        <f t="shared" si="0"/>
        <v>22.97</v>
      </c>
    </row>
    <row r="10" spans="1:15">
      <c r="O10" s="4"/>
    </row>
    <row r="11" spans="1:15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O11" s="6"/>
    </row>
    <row r="12" spans="1:15">
      <c r="A12" s="2" t="s">
        <v>3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O12" s="6"/>
    </row>
    <row r="13" spans="1:15">
      <c r="A13" s="2">
        <v>1</v>
      </c>
      <c r="B13" s="2" t="s">
        <v>5</v>
      </c>
      <c r="C13" s="4">
        <f>'Hurley 16th April 2023'!$L$3</f>
        <v>22</v>
      </c>
      <c r="D13" s="4">
        <f>'Buckminster 30th April 2023'!$L$6</f>
        <v>26.32</v>
      </c>
      <c r="E13" s="4">
        <f>'Championships 14th May 2023'!$V$7</f>
        <v>24</v>
      </c>
      <c r="F13" s="4">
        <f>'Skelbrooke 21st May 2023'!$L$5</f>
        <v>22.45</v>
      </c>
      <c r="G13" s="4">
        <f>'Knettishall 3rd June 2023'!$N$7</f>
        <v>24</v>
      </c>
      <c r="H13" s="4">
        <f>'Ashbourne 18th June 2023'!$L$5</f>
        <v>20.65</v>
      </c>
      <c r="I13" s="4">
        <f>'Colmworth 2nd July 2023'!$L$5</f>
        <v>25.869999999999997</v>
      </c>
      <c r="J13" s="4">
        <f>'Baldock 13th August 2023'!$L$8</f>
        <v>25.91</v>
      </c>
      <c r="K13" s="4">
        <v>0</v>
      </c>
      <c r="L13" s="4">
        <f>'Knettishall 16th September 2023'!$N$9</f>
        <v>23.810000000000002</v>
      </c>
      <c r="M13" s="4">
        <f>'Nationals 1st October 2023'!$S$7</f>
        <v>23</v>
      </c>
      <c r="O13" s="4">
        <f>LARGE(C13:M13,1)+LARGE(C13:M13,2)+LARGE(C13:M13,3)+LARGE(C13:M13,4)+LARGE(C13:M13,5)</f>
        <v>126.1</v>
      </c>
    </row>
    <row r="14" spans="1:15">
      <c r="A14" s="2">
        <v>2</v>
      </c>
      <c r="B14" s="2" t="s">
        <v>65</v>
      </c>
      <c r="C14" s="4"/>
      <c r="D14" s="4">
        <f>'Buckminster 30th April 2023'!$L$7</f>
        <v>24.58</v>
      </c>
      <c r="E14" s="4"/>
      <c r="F14" s="4">
        <f>'Skelbrooke 21st May 2023'!$L$4</f>
        <v>23.95</v>
      </c>
      <c r="G14" s="4"/>
      <c r="H14" s="4">
        <f>'Ashbourne 18th June 2023'!$L$4</f>
        <v>26</v>
      </c>
      <c r="I14" s="4">
        <f>'Colmworth 2nd July 2023'!$L$4</f>
        <v>26</v>
      </c>
      <c r="J14" s="4"/>
      <c r="K14" s="4"/>
      <c r="L14" s="4">
        <v>0</v>
      </c>
      <c r="M14" s="4">
        <v>0</v>
      </c>
      <c r="O14" s="4">
        <f>LARGE(C14:M14,1)+LARGE(C14:M14,2)+LARGE(C14:M14,3)+LARGE(C14:M14,4)+LARGE(C14:M14,5)</f>
        <v>100.53</v>
      </c>
    </row>
    <row r="15" spans="1:15">
      <c r="A15" s="2">
        <v>3</v>
      </c>
      <c r="B15" s="2" t="s">
        <v>1</v>
      </c>
      <c r="C15" s="4">
        <f>'Hurley 16th April 2023'!$L$4</f>
        <v>17.899999999999999</v>
      </c>
      <c r="D15" s="4">
        <f>'Buckminster 30th April 2023'!$L$8</f>
        <v>17.39</v>
      </c>
      <c r="E15" s="4">
        <v>0</v>
      </c>
      <c r="F15" s="4">
        <v>0</v>
      </c>
      <c r="G15" s="4"/>
      <c r="H15" s="4"/>
      <c r="I15" s="4"/>
      <c r="J15" s="4"/>
      <c r="K15" s="4"/>
      <c r="L15" s="4">
        <v>0</v>
      </c>
      <c r="M15" s="4">
        <v>0</v>
      </c>
      <c r="O15" s="4">
        <f>LARGE(C15:M15,1)+LARGE(C15:M15,2)+LARGE(C15:M15,3)+LARGE(C15:M15,4)+LARGE(C15:M15,5)</f>
        <v>35.29</v>
      </c>
    </row>
    <row r="16" spans="1:15">
      <c r="A16" s="2">
        <f>4</f>
        <v>4</v>
      </c>
      <c r="B16" s="2" t="s">
        <v>73</v>
      </c>
      <c r="C16" s="4">
        <v>0</v>
      </c>
      <c r="D16" s="4"/>
      <c r="E16" s="4"/>
      <c r="F16" s="4">
        <f>'Skelbrooke 21st May 2023'!$L$3</f>
        <v>25</v>
      </c>
      <c r="G16" s="4"/>
      <c r="H16" s="4"/>
      <c r="I16" s="4"/>
      <c r="J16" s="4"/>
      <c r="K16" s="4">
        <v>0</v>
      </c>
      <c r="L16" s="4">
        <v>0</v>
      </c>
      <c r="M16" s="4">
        <v>0</v>
      </c>
      <c r="O16" s="4">
        <f>LARGE(C16:M16,1)+LARGE(C16:M16,2)+LARGE(C16:M16,3)+LARGE(C16:M16,4)+LARGE(C16:M16,5)</f>
        <v>25</v>
      </c>
    </row>
    <row r="17" spans="1:15">
      <c r="A17" s="2">
        <v>5</v>
      </c>
      <c r="B17" s="2" t="s">
        <v>83</v>
      </c>
      <c r="C17" s="4">
        <v>0</v>
      </c>
      <c r="D17" s="4"/>
      <c r="E17" s="4"/>
      <c r="F17" s="4"/>
      <c r="G17" s="4"/>
      <c r="H17" s="4"/>
      <c r="I17" s="4"/>
      <c r="J17" s="4">
        <v>0</v>
      </c>
      <c r="K17" s="4">
        <v>0</v>
      </c>
      <c r="L17" s="4">
        <f>'Knettishall 16th September 2023'!$N$10</f>
        <v>18.46</v>
      </c>
      <c r="M17" s="4">
        <v>0</v>
      </c>
      <c r="O17" s="4">
        <f>LARGE(C17:M17,1)+LARGE(C17:M17,2)+LARGE(C17:M17,3)+LARGE(C17:M17,4)+LARGE(C17:M17,5)</f>
        <v>18.46</v>
      </c>
    </row>
    <row r="18" spans="1:15" s="4" customFormat="1"/>
    <row r="19" spans="1:15">
      <c r="A19" s="2" t="s">
        <v>6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O19" s="6"/>
    </row>
    <row r="20" spans="1:15">
      <c r="A20" s="2">
        <v>1</v>
      </c>
      <c r="B20" s="2" t="s">
        <v>7</v>
      </c>
      <c r="C20" s="4">
        <f>'Hurley 16th April 2023'!$L$7</f>
        <v>22</v>
      </c>
      <c r="D20" s="4">
        <f>'Buckminster 30th April 2023'!$L$11</f>
        <v>23</v>
      </c>
      <c r="E20" s="4">
        <f>'Championships 14th May 2023'!$V$10</f>
        <v>22</v>
      </c>
      <c r="F20" s="4"/>
      <c r="G20" s="4"/>
      <c r="H20" s="4">
        <f>'Ashbourne 18th June 2023'!$L$8</f>
        <v>22</v>
      </c>
      <c r="I20" s="4">
        <f>'Colmworth 2nd July 2023'!$L$8</f>
        <v>25</v>
      </c>
      <c r="J20" s="4">
        <f>'Baldock 13th August 2023'!$L$13</f>
        <v>22</v>
      </c>
      <c r="K20" s="4">
        <f>'Ashbourne 20th August 2023'!$N$4</f>
        <v>23</v>
      </c>
      <c r="L20" s="4">
        <v>0</v>
      </c>
      <c r="M20" s="4">
        <f>'Nationals 1st October 2023'!$S$10</f>
        <v>22</v>
      </c>
      <c r="O20" s="4">
        <f>LARGE(C20:M20,1)+LARGE(C20:M20,2)+LARGE(C20:M20,3)+LARGE(C20:M20,4)+LARGE(C20:M20,5)</f>
        <v>115</v>
      </c>
    </row>
    <row r="21" spans="1:15" s="4" customFormat="1"/>
    <row r="22" spans="1:15">
      <c r="A22" s="2" t="s">
        <v>9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O22" s="6"/>
    </row>
    <row r="23" spans="1:15">
      <c r="A23" s="2">
        <v>1</v>
      </c>
      <c r="B23" s="2" t="s">
        <v>28</v>
      </c>
      <c r="C23" s="4">
        <f>'Hurley 16th April 2023'!L15</f>
        <v>21.130000000000003</v>
      </c>
      <c r="D23" s="4">
        <f>'Buckminster 30th April 2023'!$L$19</f>
        <v>22.34</v>
      </c>
      <c r="E23" s="4">
        <f>'Championships 14th May 2023'!$V$14</f>
        <v>23.41</v>
      </c>
      <c r="F23" s="4">
        <f>'Skelbrooke 21st May 2023'!$L$11</f>
        <v>21.53</v>
      </c>
      <c r="G23" s="4">
        <f>'Knettishall 3rd June 2023'!$N$12</f>
        <v>25.990000000000002</v>
      </c>
      <c r="H23" s="4">
        <f>'Ashbourne 18th June 2023'!$L$16</f>
        <v>22.47</v>
      </c>
      <c r="I23" s="4">
        <f>'Colmworth 2nd July 2023'!$L$12</f>
        <v>25.71</v>
      </c>
      <c r="J23" s="4">
        <f>'Baldock 13th August 2023'!$L$16</f>
        <v>25</v>
      </c>
      <c r="K23" s="4"/>
      <c r="L23" s="4">
        <f>'Knettishall 16th September 2023'!$N$13</f>
        <v>25</v>
      </c>
      <c r="M23" s="4">
        <f>'Nationals 1st October 2023'!$S$14</f>
        <v>22.1</v>
      </c>
      <c r="O23" s="4">
        <f>LARGE(C23:M23,1)+LARGE(C23:M23,2)+LARGE(C23:M23,3)+LARGE(C23:M23,4)+LARGE(C23:M23,5)</f>
        <v>125.11</v>
      </c>
    </row>
    <row r="24" spans="1:15">
      <c r="A24" s="2">
        <v>2</v>
      </c>
      <c r="B24" s="2" t="s">
        <v>10</v>
      </c>
      <c r="C24" s="4">
        <f>'Hurley 16th April 2023'!L11</f>
        <v>27.689999999999998</v>
      </c>
      <c r="D24" s="4"/>
      <c r="E24" s="4"/>
      <c r="F24" s="4"/>
      <c r="G24" s="4"/>
      <c r="H24" s="4">
        <f>'Ashbourne 18th June 2023'!$L$11</f>
        <v>29</v>
      </c>
      <c r="I24" s="4">
        <f>'Colmworth 2nd July 2023'!$L$11</f>
        <v>30</v>
      </c>
      <c r="J24" s="4"/>
      <c r="K24" s="4">
        <f>'Ashbourne 20th August 2023'!$N$8</f>
        <v>27.990000000000002</v>
      </c>
      <c r="L24" s="4">
        <v>0</v>
      </c>
      <c r="M24" s="4">
        <v>0</v>
      </c>
      <c r="O24" s="4">
        <f>LARGE(C24:M24,1)+LARGE(C24:M24,2)+LARGE(C24:M24,3)+LARGE(C24:M24,4)+LARGE(C24:M24,5)</f>
        <v>114.68</v>
      </c>
    </row>
    <row r="25" spans="1:15">
      <c r="A25" s="2">
        <v>3</v>
      </c>
      <c r="B25" s="2" t="s">
        <v>4</v>
      </c>
      <c r="C25" s="4">
        <f>'Hurley 16th April 2023'!L18</f>
        <v>19.579999999999998</v>
      </c>
      <c r="D25" s="4">
        <f>'Buckminster 30th April 2023'!$L$21</f>
        <v>19.73</v>
      </c>
      <c r="E25" s="4">
        <f>'Championships 14th May 2023'!$V$16</f>
        <v>19.130000000000003</v>
      </c>
      <c r="F25" s="4">
        <f>'Skelbrooke 21st May 2023'!$L$14</f>
        <v>18.850000000000001</v>
      </c>
      <c r="G25" s="4"/>
      <c r="H25" s="4"/>
      <c r="I25" s="4">
        <f>'Colmworth 2nd July 2023'!$L$14</f>
        <v>23.009999999999998</v>
      </c>
      <c r="J25" s="4">
        <f>'Baldock 13th August 2023'!$L$17</f>
        <v>23.68</v>
      </c>
      <c r="K25" s="4">
        <f>'Ashbourne 20th August 2023'!$N$12</f>
        <v>21.18</v>
      </c>
      <c r="L25" s="4">
        <f>'Knettishall 16th September 2023'!$N$16</f>
        <v>18.3</v>
      </c>
      <c r="M25" s="4">
        <f>'Nationals 1st October 2023'!$S$15</f>
        <v>20.369999999999997</v>
      </c>
      <c r="O25" s="4">
        <f>LARGE(C25:M25,1)+LARGE(C25:M25,2)+LARGE(C25:M25,3)+LARGE(C25:M25,4)+LARGE(C25:M25,5)</f>
        <v>107.97000000000001</v>
      </c>
    </row>
    <row r="26" spans="1:15">
      <c r="A26" s="2">
        <v>4</v>
      </c>
      <c r="B26" s="2" t="s">
        <v>57</v>
      </c>
      <c r="C26" s="4"/>
      <c r="D26" s="4">
        <f>'Buckminster 30th April 2023'!$L$16</f>
        <v>28.9</v>
      </c>
      <c r="E26" s="4"/>
      <c r="F26" s="4">
        <f>'Skelbrooke 21st May 2023'!$L$9</f>
        <v>27.939999999999998</v>
      </c>
      <c r="G26" s="4">
        <f>'Knettishall 3rd June 2023'!$N$11</f>
        <v>28.78</v>
      </c>
      <c r="H26" s="4">
        <f>'Ashbourne 18th June 2023'!$L$17</f>
        <v>20.03</v>
      </c>
      <c r="I26" s="4"/>
      <c r="J26" s="4"/>
      <c r="K26" s="4"/>
      <c r="L26" s="4">
        <v>0</v>
      </c>
      <c r="M26" s="4">
        <v>0</v>
      </c>
      <c r="O26" s="4">
        <f>LARGE(C26:M26,1)+LARGE(C26:M26,2)+LARGE(C26:M26,3)+LARGE(C26:M26,4)+LARGE(C26:M26,5)</f>
        <v>105.65</v>
      </c>
    </row>
    <row r="27" spans="1:15">
      <c r="A27" s="2">
        <v>5</v>
      </c>
      <c r="B27" s="2" t="s">
        <v>16</v>
      </c>
      <c r="C27" s="4">
        <f>'Hurley 16th April 2023'!L17</f>
        <v>20.94</v>
      </c>
      <c r="D27" s="4"/>
      <c r="E27" s="4">
        <f>'Championships 14th May 2023'!$V$18</f>
        <v>18.009999999999998</v>
      </c>
      <c r="F27" s="4">
        <f>'Skelbrooke 21st May 2023'!$L$13</f>
        <v>20.2</v>
      </c>
      <c r="G27" s="4"/>
      <c r="H27" s="4"/>
      <c r="I27" s="4">
        <f>'Colmworth 2nd July 2023'!$L$15</f>
        <v>20.58</v>
      </c>
      <c r="J27" s="4"/>
      <c r="K27" s="4">
        <f>'Ashbourne 20th August 2023'!$N$11</f>
        <v>22.5</v>
      </c>
      <c r="L27" s="4"/>
      <c r="M27" s="4">
        <f>'Nationals 1st October 2023'!$S$16</f>
        <v>17.96</v>
      </c>
      <c r="O27" s="4">
        <f>LARGE(C27:M27,1)+LARGE(C27:M27,2)+LARGE(C27:M27,3)+LARGE(C27:M27,4)+LARGE(C27:M27,5)</f>
        <v>102.22999999999999</v>
      </c>
    </row>
    <row r="28" spans="1:15">
      <c r="A28" s="2">
        <v>6</v>
      </c>
      <c r="B28" s="2" t="s">
        <v>32</v>
      </c>
      <c r="C28" s="4"/>
      <c r="D28" s="4">
        <f>'Buckminster 30th April 2023'!$L$22</f>
        <v>19.66</v>
      </c>
      <c r="E28" s="4"/>
      <c r="F28" s="4"/>
      <c r="G28" s="4"/>
      <c r="H28" s="4"/>
      <c r="I28" s="4">
        <f>'Colmworth 2nd July 2023'!$L$16</f>
        <v>19.170000000000002</v>
      </c>
      <c r="J28" s="4">
        <f>'Baldock 13th August 2023'!$L$19</f>
        <v>19.41</v>
      </c>
      <c r="K28" s="4"/>
      <c r="L28" s="4">
        <f>'Knettishall 16th September 2023'!$N$14</f>
        <v>19.670000000000002</v>
      </c>
      <c r="M28" s="4">
        <f>'Nationals 1st October 2023'!$S$17</f>
        <v>16.71</v>
      </c>
      <c r="O28" s="4">
        <f>LARGE(C28:M28,1)+LARGE(C28:M28,2)+LARGE(C28:M28,3)+LARGE(C28:M28,4)+LARGE(C28:M28,5)</f>
        <v>94.62</v>
      </c>
    </row>
    <row r="29" spans="1:15">
      <c r="A29" s="2">
        <v>7</v>
      </c>
      <c r="B29" s="2" t="s">
        <v>25</v>
      </c>
      <c r="C29" s="4">
        <f>'Hurley 16th April 2023'!L19</f>
        <v>15.82</v>
      </c>
      <c r="D29" s="4"/>
      <c r="E29" s="4">
        <f>'Championships 14th May 2023'!$V$19</f>
        <v>17.690000000000001</v>
      </c>
      <c r="F29" s="4">
        <f>'Skelbrooke 21st May 2023'!$L$15</f>
        <v>18.59</v>
      </c>
      <c r="G29" s="4"/>
      <c r="H29" s="4">
        <f>'Ashbourne 18th June 2023'!$L$18</f>
        <v>19.96</v>
      </c>
      <c r="I29" s="4"/>
      <c r="J29" s="4"/>
      <c r="K29" s="4"/>
      <c r="L29" s="4"/>
      <c r="M29" s="4">
        <f>'Nationals 1st October 2023'!$S$18</f>
        <v>15.129999999999999</v>
      </c>
      <c r="O29" s="4">
        <f>LARGE(C29:M29,1)+LARGE(C29:M29,2)+LARGE(C29:M29,3)+LARGE(C29:M29,4)+LARGE(C29:M29,5)</f>
        <v>87.19</v>
      </c>
    </row>
    <row r="30" spans="1:15">
      <c r="A30" s="2">
        <v>8</v>
      </c>
      <c r="B30" s="2" t="s">
        <v>11</v>
      </c>
      <c r="C30" s="4">
        <f>'Hurley 16th April 2023'!L12</f>
        <v>27.53</v>
      </c>
      <c r="D30" s="4">
        <f>'Buckminster 30th April 2023'!$L$14</f>
        <v>29</v>
      </c>
      <c r="E30" s="4"/>
      <c r="F30" s="4"/>
      <c r="G30" s="4"/>
      <c r="H30" s="4"/>
      <c r="I30" s="4"/>
      <c r="J30" s="4"/>
      <c r="K30" s="4">
        <f>'Ashbourne 20th August 2023'!$N$7</f>
        <v>28</v>
      </c>
      <c r="L30" s="4">
        <v>0</v>
      </c>
      <c r="M30" s="4">
        <v>0</v>
      </c>
      <c r="O30" s="4">
        <f>LARGE(C30:M30,1)+LARGE(C30:M30,2)+LARGE(C30:M30,3)+LARGE(C30:M30,4)+LARGE(C30:M30,5)</f>
        <v>84.53</v>
      </c>
    </row>
    <row r="31" spans="1:15">
      <c r="A31" s="2">
        <v>9</v>
      </c>
      <c r="B31" s="2" t="s">
        <v>60</v>
      </c>
      <c r="C31" s="4"/>
      <c r="D31" s="4"/>
      <c r="E31" s="4"/>
      <c r="F31" s="4">
        <f>'Skelbrooke 21st May 2023'!$L$8</f>
        <v>28</v>
      </c>
      <c r="G31" s="4"/>
      <c r="H31" s="4">
        <f>'Ashbourne 18th June 2023'!$L$12</f>
        <v>27.98</v>
      </c>
      <c r="I31" s="4"/>
      <c r="J31" s="4"/>
      <c r="K31" s="4">
        <f>'Ashbourne 20th August 2023'!$N$9</f>
        <v>27.86</v>
      </c>
      <c r="L31" s="4">
        <v>0</v>
      </c>
      <c r="M31" s="4">
        <v>0</v>
      </c>
      <c r="O31" s="4">
        <f>LARGE(C31:M31,1)+LARGE(C31:M31,2)+LARGE(C31:M31,3)+LARGE(C31:M31,4)+LARGE(C31:M31,5)</f>
        <v>83.84</v>
      </c>
    </row>
    <row r="32" spans="1:15">
      <c r="A32" s="2">
        <v>10</v>
      </c>
      <c r="B32" s="2" t="s">
        <v>69</v>
      </c>
      <c r="C32" s="4">
        <f>'Hurley 16th April 2023'!L16</f>
        <v>21.04</v>
      </c>
      <c r="D32" s="4">
        <f>'Buckminster 30th April 2023'!$L$20</f>
        <v>21.060000000000002</v>
      </c>
      <c r="E32" s="4">
        <f>'Championships 14th May 2023'!$V$15</f>
        <v>19.43</v>
      </c>
      <c r="F32" s="4"/>
      <c r="G32" s="4"/>
      <c r="H32" s="4">
        <f>'Ashbourne 18th June 2023'!$L$19</f>
        <v>19.95</v>
      </c>
      <c r="I32" s="4"/>
      <c r="J32" s="4"/>
      <c r="K32" s="4"/>
      <c r="L32" s="4">
        <v>0</v>
      </c>
      <c r="M32" s="4">
        <v>0</v>
      </c>
      <c r="O32" s="4">
        <f>LARGE(C32:M32,1)+LARGE(C32:M32,2)+LARGE(C32:M32,3)+LARGE(C32:M32,4)+LARGE(C32:M32,5)</f>
        <v>81.47999999999999</v>
      </c>
    </row>
    <row r="33" spans="1:15">
      <c r="A33" s="2">
        <v>11</v>
      </c>
      <c r="B33" s="2" t="s">
        <v>14</v>
      </c>
      <c r="C33" s="4"/>
      <c r="D33" s="4">
        <f>'Buckminster 30th April 2023'!$L$17</f>
        <v>24.939999999999998</v>
      </c>
      <c r="E33" s="4"/>
      <c r="F33" s="4"/>
      <c r="G33" s="4"/>
      <c r="H33" s="4">
        <f>'Ashbourne 18th June 2023'!$L$15</f>
        <v>25.03</v>
      </c>
      <c r="I33" s="4"/>
      <c r="J33" s="4"/>
      <c r="K33" s="4">
        <f>'Ashbourne 20th August 2023'!$N$10</f>
        <v>23.990000000000002</v>
      </c>
      <c r="L33" s="4">
        <v>0</v>
      </c>
      <c r="M33" s="4">
        <v>0</v>
      </c>
      <c r="O33" s="4">
        <f>LARGE(C33:M33,1)+LARGE(C33:M33,2)+LARGE(C33:M33,3)+LARGE(C33:M33,4)+LARGE(C33:M33,5)</f>
        <v>73.960000000000008</v>
      </c>
    </row>
    <row r="34" spans="1:15">
      <c r="A34" s="2">
        <v>12</v>
      </c>
      <c r="B34" s="2" t="s">
        <v>68</v>
      </c>
      <c r="C34" s="4">
        <f>'Hurley 16th April 2023'!L13</f>
        <v>23.689999999999998</v>
      </c>
      <c r="D34" s="4">
        <f>'Buckminster 30th April 2023'!$L$18</f>
        <v>23.91</v>
      </c>
      <c r="E34" s="4">
        <f>'Championships 14th May 2023'!$V$13</f>
        <v>26</v>
      </c>
      <c r="F34" s="4"/>
      <c r="G34" s="4"/>
      <c r="H34" s="4"/>
      <c r="I34" s="4"/>
      <c r="J34" s="4"/>
      <c r="K34" s="4"/>
      <c r="L34" s="4">
        <v>0</v>
      </c>
      <c r="M34" s="4">
        <v>0</v>
      </c>
      <c r="O34" s="4">
        <f>LARGE(C34:M34,1)+LARGE(C34:M34,2)+LARGE(C34:M34,3)+LARGE(C34:M34,4)+LARGE(C34:M34,5)</f>
        <v>73.599999999999994</v>
      </c>
    </row>
    <row r="35" spans="1:15">
      <c r="A35" s="2">
        <v>13</v>
      </c>
      <c r="B35" s="2" t="s">
        <v>30</v>
      </c>
      <c r="C35" s="4"/>
      <c r="D35" s="4"/>
      <c r="E35" s="4"/>
      <c r="F35" s="4"/>
      <c r="G35" s="4">
        <f>'Knettishall 3rd June 2023'!$N$15</f>
        <v>18.14</v>
      </c>
      <c r="H35" s="4"/>
      <c r="I35" s="4">
        <f>'Colmworth 2nd July 2023'!$L$17</f>
        <v>16.63</v>
      </c>
      <c r="J35" s="4">
        <f>'Baldock 13th August 2023'!$L$20</f>
        <v>19.41</v>
      </c>
      <c r="K35" s="4"/>
      <c r="L35" s="4">
        <f>'Knettishall 16th September 2023'!$N$17</f>
        <v>16.649999999999999</v>
      </c>
      <c r="M35" s="4">
        <v>0</v>
      </c>
      <c r="O35" s="4">
        <f>LARGE(C35:M35,1)+LARGE(C35:M35,2)+LARGE(C35:M35,3)+LARGE(C35:M35,4)+LARGE(C35:M35,5)</f>
        <v>70.83</v>
      </c>
    </row>
    <row r="36" spans="1:15">
      <c r="A36" s="2">
        <v>14</v>
      </c>
      <c r="B36" s="2" t="s">
        <v>15</v>
      </c>
      <c r="C36" s="4"/>
      <c r="D36" s="4"/>
      <c r="E36" s="4"/>
      <c r="F36" s="4"/>
      <c r="G36" s="4">
        <f>'Knettishall 3rd June 2023'!$N$13</f>
        <v>21.98</v>
      </c>
      <c r="H36" s="4"/>
      <c r="I36" s="4">
        <f>'Colmworth 2nd July 2023'!$L$13</f>
        <v>23.15</v>
      </c>
      <c r="J36" s="4">
        <f>'Baldock 13th August 2023'!$L$18</f>
        <v>23.58</v>
      </c>
      <c r="K36" s="4"/>
      <c r="L36" s="4">
        <v>0</v>
      </c>
      <c r="M36" s="4">
        <v>0</v>
      </c>
      <c r="O36" s="4">
        <f>LARGE(C36:M36,1)+LARGE(C36:M36,2)+LARGE(C36:M36,3)+LARGE(C36:M36,4)+LARGE(C36:M36,5)</f>
        <v>68.709999999999994</v>
      </c>
    </row>
    <row r="37" spans="1:15">
      <c r="A37" s="2">
        <v>15</v>
      </c>
      <c r="B37" s="2" t="s">
        <v>33</v>
      </c>
      <c r="C37" s="4"/>
      <c r="D37" s="4"/>
      <c r="E37" s="4"/>
      <c r="F37" s="4"/>
      <c r="G37" s="4">
        <f>'Knettishall 3rd June 2023'!$N$16</f>
        <v>16.740000000000002</v>
      </c>
      <c r="H37" s="4"/>
      <c r="I37" s="4">
        <f>'Colmworth 2nd July 2023'!$L$18</f>
        <v>12.82</v>
      </c>
      <c r="J37" s="4">
        <f>'Baldock 13th August 2023'!$L$21</f>
        <v>18.14</v>
      </c>
      <c r="K37" s="4"/>
      <c r="L37" s="4">
        <f>'Knettishall 16th September 2023'!$N$15</f>
        <v>19.619999999999997</v>
      </c>
      <c r="M37" s="4">
        <v>0</v>
      </c>
      <c r="O37" s="4">
        <f>LARGE(C37:M37,1)+LARGE(C37:M37,2)+LARGE(C37:M37,3)+LARGE(C37:M37,4)+LARGE(C37:M37,5)</f>
        <v>67.319999999999993</v>
      </c>
    </row>
    <row r="38" spans="1:15">
      <c r="A38" s="2">
        <v>16</v>
      </c>
      <c r="B38" s="2" t="s">
        <v>29</v>
      </c>
      <c r="C38" s="4"/>
      <c r="D38" s="4">
        <f>'Buckminster 30th April 2023'!$L$15</f>
        <v>28.95</v>
      </c>
      <c r="E38" s="4"/>
      <c r="F38" s="4"/>
      <c r="G38" s="4">
        <f>'Knettishall 3rd June 2023'!$N$10</f>
        <v>30</v>
      </c>
      <c r="H38" s="4"/>
      <c r="I38" s="4"/>
      <c r="J38" s="4"/>
      <c r="K38" s="4">
        <v>0</v>
      </c>
      <c r="L38" s="4">
        <v>0</v>
      </c>
      <c r="M38" s="4">
        <v>0</v>
      </c>
      <c r="O38" s="4">
        <f>LARGE(C38:M38,1)+LARGE(C38:M38,2)+LARGE(C38:M38,3)+LARGE(C38:M38,4)+LARGE(C38:M38,5)</f>
        <v>58.95</v>
      </c>
    </row>
    <row r="39" spans="1:15">
      <c r="A39" s="2">
        <v>17</v>
      </c>
      <c r="B39" s="2" t="s">
        <v>13</v>
      </c>
      <c r="C39" s="4"/>
      <c r="D39" s="4"/>
      <c r="E39" s="4"/>
      <c r="F39" s="4">
        <f>'Skelbrooke 21st May 2023'!$L$10</f>
        <v>26.58</v>
      </c>
      <c r="G39" s="4"/>
      <c r="H39" s="4">
        <f>'Ashbourne 18th June 2023'!$L$13</f>
        <v>26.4</v>
      </c>
      <c r="I39" s="4"/>
      <c r="J39" s="4"/>
      <c r="K39" s="4">
        <v>0</v>
      </c>
      <c r="L39" s="4">
        <v>0</v>
      </c>
      <c r="M39" s="4">
        <v>0</v>
      </c>
      <c r="O39" s="4">
        <f>LARGE(C39:M39,1)+LARGE(C39:M39,2)+LARGE(C39:M39,3)+LARGE(C39:M39,4)+LARGE(C39:M39,5)</f>
        <v>52.98</v>
      </c>
    </row>
    <row r="40" spans="1:15">
      <c r="A40" s="2">
        <v>18</v>
      </c>
      <c r="B40" s="2" t="s">
        <v>17</v>
      </c>
      <c r="C40" s="4"/>
      <c r="D40" s="4">
        <f>'Buckminster 30th April 2023'!$L$23</f>
        <v>14.42</v>
      </c>
      <c r="E40" s="4"/>
      <c r="F40" s="4">
        <f>'Skelbrooke 21st May 2023'!$L$16</f>
        <v>16.23</v>
      </c>
      <c r="G40" s="4"/>
      <c r="H40" s="4">
        <f>'Ashbourne 18th June 2023'!$L$20</f>
        <v>17.37</v>
      </c>
      <c r="I40" s="4"/>
      <c r="J40" s="4"/>
      <c r="K40" s="4"/>
      <c r="L40" s="4">
        <v>0</v>
      </c>
      <c r="M40" s="4">
        <v>0</v>
      </c>
      <c r="O40" s="4">
        <f>LARGE(C40:M40,1)+LARGE(C40:M40,2)+LARGE(C40:M40,3)+LARGE(C40:M40,4)+LARGE(C40:M40,5)</f>
        <v>48.02</v>
      </c>
    </row>
    <row r="41" spans="1:15">
      <c r="A41" s="2">
        <v>19</v>
      </c>
      <c r="B41" s="2" t="s">
        <v>35</v>
      </c>
      <c r="C41" s="4">
        <f>'Hurley 16th April 2023'!L14</f>
        <v>21.14</v>
      </c>
      <c r="D41" s="4"/>
      <c r="E41" s="4"/>
      <c r="F41" s="4">
        <f>'Skelbrooke 21st May 2023'!$L$12</f>
        <v>21.380000000000003</v>
      </c>
      <c r="G41" s="4"/>
      <c r="H41" s="4"/>
      <c r="I41" s="4"/>
      <c r="J41" s="4"/>
      <c r="K41" s="4">
        <v>0</v>
      </c>
      <c r="L41" s="4">
        <v>0</v>
      </c>
      <c r="M41" s="4">
        <v>0</v>
      </c>
      <c r="O41" s="4">
        <f>LARGE(C41:M41,1)+LARGE(C41:M41,2)+LARGE(C41:M41,3)+LARGE(C41:M41,4)+LARGE(C41:M41,5)</f>
        <v>42.52</v>
      </c>
    </row>
    <row r="42" spans="1:15">
      <c r="A42" s="2">
        <v>20</v>
      </c>
      <c r="B42" s="2" t="s">
        <v>31</v>
      </c>
      <c r="C42" s="4"/>
      <c r="D42" s="4"/>
      <c r="E42" s="4">
        <f>'Championships 14th May 2023'!$V$17</f>
        <v>18.03</v>
      </c>
      <c r="F42" s="4"/>
      <c r="G42" s="4">
        <f>'Knettishall 3rd June 2023'!$N$14</f>
        <v>19.64</v>
      </c>
      <c r="H42" s="4"/>
      <c r="I42" s="4"/>
      <c r="J42" s="4"/>
      <c r="K42" s="4">
        <v>0</v>
      </c>
      <c r="L42" s="4">
        <v>0</v>
      </c>
      <c r="M42" s="4">
        <v>0</v>
      </c>
      <c r="O42" s="4">
        <f>LARGE(C42:M42,1)+LARGE(C42:M42,2)+LARGE(C42:M42,3)+LARGE(C42:M42,4)+LARGE(C42:M42,5)</f>
        <v>37.67</v>
      </c>
    </row>
    <row r="43" spans="1:15">
      <c r="A43" s="2">
        <v>21</v>
      </c>
      <c r="B43" s="2" t="s">
        <v>41</v>
      </c>
      <c r="C43" s="4">
        <f>'Hurley 16th April 2023'!L10</f>
        <v>29</v>
      </c>
      <c r="D43" s="4">
        <v>0</v>
      </c>
      <c r="E43" s="4"/>
      <c r="F43" s="4"/>
      <c r="G43" s="4"/>
      <c r="H43" s="4"/>
      <c r="I43" s="4"/>
      <c r="J43" s="4"/>
      <c r="K43" s="4">
        <v>0</v>
      </c>
      <c r="L43" s="4">
        <v>0</v>
      </c>
      <c r="M43" s="4">
        <v>0</v>
      </c>
      <c r="O43" s="4">
        <f>LARGE(C43:M43,1)+LARGE(C43:M43,2)+LARGE(C43:M43,3)+LARGE(C43:M43,4)+LARGE(C43:M43,5)</f>
        <v>29</v>
      </c>
    </row>
    <row r="44" spans="1:15">
      <c r="A44" s="2">
        <v>22</v>
      </c>
      <c r="B44" s="2" t="s">
        <v>85</v>
      </c>
      <c r="C44" s="4">
        <v>0</v>
      </c>
      <c r="D44" s="4">
        <v>0</v>
      </c>
      <c r="E44" s="4"/>
      <c r="F44" s="4"/>
      <c r="G44" s="4"/>
      <c r="H44" s="4"/>
      <c r="I44" s="4"/>
      <c r="J44" s="4"/>
      <c r="K44" s="4">
        <v>0</v>
      </c>
      <c r="L44" s="4">
        <v>0</v>
      </c>
      <c r="M44" s="4">
        <f>'Nationals 1st October 2023'!$S$13</f>
        <v>27</v>
      </c>
      <c r="O44" s="4">
        <f>LARGE(C44:M44,1)+LARGE(C44:M44,2)+LARGE(C44:M44,3)+LARGE(C44:M44,4)+LARGE(C44:M44,5)</f>
        <v>27</v>
      </c>
    </row>
    <row r="45" spans="1:15">
      <c r="A45" s="2">
        <v>23</v>
      </c>
      <c r="B45" s="2" t="s">
        <v>12</v>
      </c>
      <c r="C45" s="4"/>
      <c r="D45" s="4">
        <v>0</v>
      </c>
      <c r="E45" s="4"/>
      <c r="F45" s="4"/>
      <c r="G45" s="4"/>
      <c r="H45" s="4">
        <f>'Ashbourne 18th June 2023'!$L$14</f>
        <v>25.29</v>
      </c>
      <c r="I45" s="4"/>
      <c r="J45" s="4"/>
      <c r="K45" s="4">
        <v>0</v>
      </c>
      <c r="L45" s="4">
        <v>0</v>
      </c>
      <c r="M45" s="4">
        <v>0</v>
      </c>
      <c r="O45" s="4">
        <f>LARGE(C45:M45,1)+LARGE(C45:M45,2)+LARGE(C45:M45,3)+LARGE(C45:M45,4)+LARGE(C45:M45,5)</f>
        <v>25.29</v>
      </c>
    </row>
    <row r="46" spans="1:15">
      <c r="A46" s="2">
        <v>24</v>
      </c>
      <c r="B46" s="2" t="s">
        <v>78</v>
      </c>
      <c r="C46" s="6"/>
      <c r="D46" s="4">
        <v>0</v>
      </c>
      <c r="F46" s="6"/>
      <c r="G46" s="6"/>
      <c r="I46" s="4"/>
      <c r="J46" s="4">
        <f>'Baldock 13th August 2023'!$L$22</f>
        <v>16.87</v>
      </c>
      <c r="K46" s="4">
        <v>0</v>
      </c>
      <c r="L46" s="4">
        <v>0</v>
      </c>
      <c r="M46" s="4">
        <v>0</v>
      </c>
      <c r="O46" s="4">
        <f>LARGE(C46:M46,1)+LARGE(C46:M46,2)+LARGE(C46:M46,3)+LARGE(C46:M46,4)+LARGE(C46:M46,5)</f>
        <v>16.87</v>
      </c>
    </row>
    <row r="47" spans="1:15">
      <c r="A47" s="2">
        <v>25</v>
      </c>
      <c r="B47" s="2" t="s">
        <v>86</v>
      </c>
      <c r="C47" s="4">
        <v>0</v>
      </c>
      <c r="D47" s="4">
        <v>0</v>
      </c>
      <c r="E47" s="4">
        <v>0</v>
      </c>
      <c r="F47" s="4">
        <v>0</v>
      </c>
      <c r="G47" s="6"/>
      <c r="M47" s="4">
        <f>'Nationals 1st October 2023'!$S$19</f>
        <v>14.059999999999999</v>
      </c>
      <c r="O47" s="4">
        <f>LARGE(C47:M47,1)+LARGE(C47:M47,2)+LARGE(C47:M47,3)+LARGE(C47:M47,4)+LARGE(C47:M47,5)</f>
        <v>14.059999999999999</v>
      </c>
    </row>
    <row r="48" spans="1:15">
      <c r="A48" s="2">
        <v>26</v>
      </c>
      <c r="B48" s="2" t="s">
        <v>8</v>
      </c>
      <c r="C48" s="4"/>
      <c r="D48" s="4">
        <v>0</v>
      </c>
      <c r="E48" s="4"/>
      <c r="F48" s="4"/>
      <c r="G48" s="4"/>
      <c r="H48" s="4"/>
      <c r="I48" s="4"/>
      <c r="J48" s="4">
        <f>'Baldock 13th August 2023'!$L$23</f>
        <v>12.870000000000001</v>
      </c>
      <c r="K48" s="4">
        <v>0</v>
      </c>
      <c r="L48" s="4">
        <v>0</v>
      </c>
      <c r="M48" s="4">
        <v>0</v>
      </c>
      <c r="O48" s="4">
        <f>LARGE(C48:M48,1)+LARGE(C48:M48,2)+LARGE(C48:M48,3)+LARGE(C48:M48,4)+LARGE(C48:M48,5)</f>
        <v>12.870000000000001</v>
      </c>
    </row>
    <row r="49" spans="3:6">
      <c r="C49" s="6"/>
      <c r="F49" s="6"/>
    </row>
    <row r="50" spans="3:6">
      <c r="F50" s="6"/>
    </row>
    <row r="52" spans="3:6">
      <c r="E52" s="14"/>
    </row>
  </sheetData>
  <sortState xmlns:xlrd2="http://schemas.microsoft.com/office/spreadsheetml/2017/richdata2" ref="B23:O48">
    <sortCondition descending="1" ref="O23:O48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DF8FD-CFAE-3F40-B015-66112A78C755}">
  <dimension ref="A1:I17"/>
  <sheetViews>
    <sheetView workbookViewId="0">
      <selection activeCell="D27" sqref="D27"/>
    </sheetView>
  </sheetViews>
  <sheetFormatPr baseColWidth="10" defaultRowHeight="16"/>
  <cols>
    <col min="2" max="2" width="19.33203125" bestFit="1" customWidth="1"/>
    <col min="3" max="3" width="13" bestFit="1" customWidth="1"/>
    <col min="4" max="4" width="13.33203125" bestFit="1" customWidth="1"/>
    <col min="5" max="5" width="13.83203125" style="2" bestFit="1" customWidth="1"/>
    <col min="6" max="6" width="13.5" style="2" bestFit="1" customWidth="1"/>
    <col min="7" max="7" width="11.33203125" style="2" bestFit="1" customWidth="1"/>
  </cols>
  <sheetData>
    <row r="1" spans="1:9">
      <c r="C1" s="3" t="s">
        <v>46</v>
      </c>
      <c r="D1" s="3" t="s">
        <v>50</v>
      </c>
      <c r="E1" s="13" t="s">
        <v>47</v>
      </c>
      <c r="F1" s="13" t="s">
        <v>48</v>
      </c>
      <c r="G1" s="13" t="s">
        <v>49</v>
      </c>
      <c r="I1" s="3" t="s">
        <v>2</v>
      </c>
    </row>
    <row r="2" spans="1:9">
      <c r="C2" s="3" t="s">
        <v>51</v>
      </c>
      <c r="D2" s="3" t="s">
        <v>59</v>
      </c>
      <c r="E2" s="13" t="s">
        <v>74</v>
      </c>
      <c r="F2" s="13" t="s">
        <v>58</v>
      </c>
      <c r="G2" s="13" t="s">
        <v>27</v>
      </c>
    </row>
    <row r="3" spans="1:9">
      <c r="C3" s="17">
        <v>45116</v>
      </c>
      <c r="D3" s="17">
        <v>45130</v>
      </c>
      <c r="E3" s="15">
        <v>45158</v>
      </c>
      <c r="F3" s="15">
        <v>45193</v>
      </c>
      <c r="G3" s="15">
        <v>45200</v>
      </c>
    </row>
    <row r="4" spans="1:9">
      <c r="C4" t="s">
        <v>93</v>
      </c>
      <c r="D4" t="s">
        <v>93</v>
      </c>
      <c r="F4" s="2" t="s">
        <v>93</v>
      </c>
    </row>
    <row r="6" spans="1:9">
      <c r="A6">
        <v>1</v>
      </c>
      <c r="B6" s="2" t="s">
        <v>11</v>
      </c>
      <c r="C6" s="4">
        <v>0</v>
      </c>
      <c r="D6" s="1">
        <v>0</v>
      </c>
      <c r="E6" s="1">
        <f>'Ashbourne 20th August 2023'!V7</f>
        <v>997.99052299745756</v>
      </c>
      <c r="F6" s="1">
        <v>0</v>
      </c>
      <c r="G6" s="1">
        <f>'Nationals 1st October 2023'!$AG$25</f>
        <v>983.00059102246894</v>
      </c>
      <c r="H6" s="1"/>
      <c r="I6" s="1">
        <f>SUM(C6:G6)</f>
        <v>1980.9911140199265</v>
      </c>
    </row>
    <row r="7" spans="1:9">
      <c r="A7">
        <v>2</v>
      </c>
      <c r="B7" s="2" t="s">
        <v>10</v>
      </c>
      <c r="C7" s="4">
        <v>0</v>
      </c>
      <c r="D7" s="1">
        <v>0</v>
      </c>
      <c r="E7" s="1">
        <f>'Ashbourne 20th August 2023'!V8</f>
        <v>1000</v>
      </c>
      <c r="F7" s="1">
        <v>0</v>
      </c>
      <c r="G7" s="1">
        <f>'Nationals 1st October 2023'!$AG$26</f>
        <v>965.89433052514187</v>
      </c>
      <c r="H7" s="1"/>
      <c r="I7" s="1">
        <f>SUM(C7:G7)</f>
        <v>1965.8943305251419</v>
      </c>
    </row>
    <row r="8" spans="1:9">
      <c r="A8">
        <v>3</v>
      </c>
      <c r="B8" s="2" t="s">
        <v>60</v>
      </c>
      <c r="C8" s="4">
        <v>0</v>
      </c>
      <c r="D8" s="1">
        <v>0</v>
      </c>
      <c r="E8" s="1">
        <f>'Ashbourne 20th August 2023'!V9</f>
        <v>984.32536660452695</v>
      </c>
      <c r="F8" s="1">
        <v>0</v>
      </c>
      <c r="G8" s="1">
        <f>'Nationals 1st October 2023'!$AG$27</f>
        <v>959.26619718780148</v>
      </c>
      <c r="H8" s="1"/>
      <c r="I8" s="1">
        <f>SUM(C8:G8)</f>
        <v>1943.5915637923285</v>
      </c>
    </row>
    <row r="9" spans="1:9">
      <c r="A9">
        <v>4</v>
      </c>
      <c r="B9" s="2" t="s">
        <v>14</v>
      </c>
      <c r="C9" s="4">
        <v>0</v>
      </c>
      <c r="D9" s="1">
        <v>0</v>
      </c>
      <c r="E9" s="1">
        <f>'Ashbourne 20th August 2023'!V10</f>
        <v>896.54730474487587</v>
      </c>
      <c r="F9" s="1">
        <v>0</v>
      </c>
      <c r="G9" s="1">
        <f>'Nationals 1st October 2023'!$AG$32</f>
        <v>832.20638371048585</v>
      </c>
      <c r="H9" s="1"/>
      <c r="I9" s="1">
        <f>SUM(C9:G9)</f>
        <v>1728.7536884553617</v>
      </c>
    </row>
    <row r="10" spans="1:9">
      <c r="A10">
        <v>5</v>
      </c>
      <c r="B10" s="2" t="s">
        <v>41</v>
      </c>
      <c r="C10" s="1">
        <v>0</v>
      </c>
      <c r="D10" s="1">
        <v>0</v>
      </c>
      <c r="E10" s="1">
        <v>0</v>
      </c>
      <c r="F10" s="1">
        <v>0</v>
      </c>
      <c r="G10" s="1">
        <f>'Nationals 1st October 2023'!$AG$23</f>
        <v>1000</v>
      </c>
      <c r="H10" s="1"/>
      <c r="I10" s="1">
        <f>SUM(C10:G10)</f>
        <v>1000</v>
      </c>
    </row>
    <row r="11" spans="1:9">
      <c r="A11">
        <v>6</v>
      </c>
      <c r="B11" s="2" t="s">
        <v>42</v>
      </c>
      <c r="C11" s="4">
        <v>0</v>
      </c>
      <c r="D11" s="1">
        <v>0</v>
      </c>
      <c r="E11" s="1">
        <v>0</v>
      </c>
      <c r="F11" s="1">
        <v>0</v>
      </c>
      <c r="G11" s="1">
        <f>'Nationals 1st October 2023'!$AG$24</f>
        <v>996.85121927601415</v>
      </c>
      <c r="H11" s="1"/>
      <c r="I11" s="1">
        <f>SUM(C11:G11)</f>
        <v>996.85121927601415</v>
      </c>
    </row>
    <row r="12" spans="1:9">
      <c r="A12">
        <v>7</v>
      </c>
      <c r="B12" s="2" t="s">
        <v>43</v>
      </c>
      <c r="C12" s="4">
        <v>0</v>
      </c>
      <c r="D12" s="1">
        <v>0</v>
      </c>
      <c r="E12" s="1">
        <v>0</v>
      </c>
      <c r="F12" s="1">
        <v>0</v>
      </c>
      <c r="G12" s="1">
        <f>'Nationals 1st October 2023'!$AG$28</f>
        <v>939.9461067647029</v>
      </c>
      <c r="H12" s="1"/>
      <c r="I12" s="1">
        <f>SUM(C12:G12)</f>
        <v>939.9461067647029</v>
      </c>
    </row>
    <row r="13" spans="1:9">
      <c r="A13">
        <v>8</v>
      </c>
      <c r="B13" s="2" t="s">
        <v>12</v>
      </c>
      <c r="C13" s="4">
        <v>0</v>
      </c>
      <c r="D13" s="1">
        <v>0</v>
      </c>
      <c r="E13" s="1">
        <v>0</v>
      </c>
      <c r="F13" s="1">
        <v>0</v>
      </c>
      <c r="G13" s="1">
        <f>'Nationals 1st October 2023'!$AG$29</f>
        <v>923.74140596565394</v>
      </c>
      <c r="H13" s="1"/>
      <c r="I13" s="1">
        <f>SUM(C13:G13)</f>
        <v>923.74140596565394</v>
      </c>
    </row>
    <row r="14" spans="1:9">
      <c r="A14">
        <v>9</v>
      </c>
      <c r="B14" s="2" t="s">
        <v>29</v>
      </c>
      <c r="C14" s="4">
        <v>0</v>
      </c>
      <c r="D14" s="1">
        <v>0</v>
      </c>
      <c r="E14" s="1">
        <v>0</v>
      </c>
      <c r="F14" s="1">
        <v>0</v>
      </c>
      <c r="G14" s="1">
        <f>'Nationals 1st October 2023'!$AG$30</f>
        <v>876.29933117626831</v>
      </c>
      <c r="H14" s="1"/>
      <c r="I14" s="1">
        <f>SUM(C14:G14)</f>
        <v>876.29933117626831</v>
      </c>
    </row>
    <row r="15" spans="1:9">
      <c r="A15">
        <v>10</v>
      </c>
      <c r="B15" s="2" t="s">
        <v>16</v>
      </c>
      <c r="C15" s="4">
        <v>0</v>
      </c>
      <c r="D15" s="1">
        <v>0</v>
      </c>
      <c r="E15" s="1">
        <f>'Ashbourne 20th August 2023'!V11</f>
        <v>853.92338245867802</v>
      </c>
      <c r="F15" s="1">
        <v>0</v>
      </c>
      <c r="G15" s="1">
        <v>0</v>
      </c>
      <c r="H15" s="1"/>
      <c r="I15" s="1">
        <f>SUM(C15:G15)</f>
        <v>853.92338245867802</v>
      </c>
    </row>
    <row r="16" spans="1:9">
      <c r="A16">
        <v>11</v>
      </c>
      <c r="B16" s="2" t="s">
        <v>84</v>
      </c>
      <c r="C16" s="4">
        <v>0</v>
      </c>
      <c r="D16" s="1">
        <v>0</v>
      </c>
      <c r="E16" s="1">
        <v>0</v>
      </c>
      <c r="F16" s="1">
        <v>0</v>
      </c>
      <c r="G16" s="1">
        <f>'Nationals 1st October 2023'!$AG$31</f>
        <v>853.50656635980249</v>
      </c>
      <c r="H16" s="1"/>
      <c r="I16" s="1">
        <f>SUM(C16:G16)</f>
        <v>853.50656635980249</v>
      </c>
    </row>
    <row r="17" spans="1:9">
      <c r="A17">
        <v>12</v>
      </c>
      <c r="B17" s="2" t="s">
        <v>4</v>
      </c>
      <c r="C17" s="4">
        <v>0</v>
      </c>
      <c r="D17" s="1">
        <v>0</v>
      </c>
      <c r="E17" s="1">
        <f>'Ashbourne 20th August 2023'!V12</f>
        <v>815.97146480499168</v>
      </c>
      <c r="F17" s="1">
        <v>0</v>
      </c>
      <c r="G17" s="1">
        <v>0</v>
      </c>
      <c r="H17" s="1"/>
      <c r="I17" s="1">
        <f>SUM(C17:G17)</f>
        <v>815.97146480499168</v>
      </c>
    </row>
  </sheetData>
  <sortState xmlns:xlrd2="http://schemas.microsoft.com/office/spreadsheetml/2017/richdata2" ref="B6:I17">
    <sortCondition descending="1" ref="I6:I17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040A6-5697-6440-B959-C8037196E67F}">
  <dimension ref="A1:B21"/>
  <sheetViews>
    <sheetView workbookViewId="0">
      <selection activeCell="H34" sqref="H34"/>
    </sheetView>
  </sheetViews>
  <sheetFormatPr baseColWidth="10" defaultRowHeight="16"/>
  <sheetData>
    <row r="1" spans="1:2">
      <c r="A1" s="18" t="s">
        <v>61</v>
      </c>
      <c r="B1" s="18"/>
    </row>
    <row r="2" spans="1:2" ht="17" thickBot="1">
      <c r="A2" s="8" t="s">
        <v>62</v>
      </c>
      <c r="B2" s="9" t="s">
        <v>63</v>
      </c>
    </row>
    <row r="3" spans="1:2">
      <c r="A3" s="10">
        <v>0</v>
      </c>
      <c r="B3" s="10">
        <v>2</v>
      </c>
    </row>
    <row r="4" spans="1:2">
      <c r="A4" s="11">
        <v>40.000999999999998</v>
      </c>
      <c r="B4" s="11">
        <v>4</v>
      </c>
    </row>
    <row r="5" spans="1:2">
      <c r="A5" s="11">
        <v>42.500999999999998</v>
      </c>
      <c r="B5" s="11">
        <v>5</v>
      </c>
    </row>
    <row r="6" spans="1:2">
      <c r="A6" s="11">
        <v>45.000999999999998</v>
      </c>
      <c r="B6" s="11">
        <v>6</v>
      </c>
    </row>
    <row r="7" spans="1:2">
      <c r="A7" s="11">
        <v>47.500999999999998</v>
      </c>
      <c r="B7" s="11">
        <v>7</v>
      </c>
    </row>
    <row r="8" spans="1:2">
      <c r="A8" s="11">
        <v>50.000999999999998</v>
      </c>
      <c r="B8" s="11">
        <v>8</v>
      </c>
    </row>
    <row r="9" spans="1:2">
      <c r="A9" s="11">
        <v>52.500999999999998</v>
      </c>
      <c r="B9" s="11">
        <v>9</v>
      </c>
    </row>
    <row r="10" spans="1:2">
      <c r="A10" s="11">
        <v>55.000999999999998</v>
      </c>
      <c r="B10" s="11">
        <v>10</v>
      </c>
    </row>
    <row r="11" spans="1:2">
      <c r="A11" s="11">
        <v>57.500999999999998</v>
      </c>
      <c r="B11" s="11">
        <v>11</v>
      </c>
    </row>
    <row r="12" spans="1:2">
      <c r="A12" s="11">
        <v>60.000999999999998</v>
      </c>
      <c r="B12" s="11">
        <v>12</v>
      </c>
    </row>
    <row r="13" spans="1:2">
      <c r="A13" s="11">
        <v>62.500999999999998</v>
      </c>
      <c r="B13" s="11">
        <v>13</v>
      </c>
    </row>
    <row r="14" spans="1:2">
      <c r="A14" s="11">
        <v>65.001000000000005</v>
      </c>
      <c r="B14" s="11">
        <v>14</v>
      </c>
    </row>
    <row r="15" spans="1:2">
      <c r="A15" s="11">
        <v>67.501000000000005</v>
      </c>
      <c r="B15" s="11">
        <v>15</v>
      </c>
    </row>
    <row r="16" spans="1:2">
      <c r="A16" s="11">
        <v>70.001000000000005</v>
      </c>
      <c r="B16" s="11">
        <v>16</v>
      </c>
    </row>
    <row r="17" spans="1:2">
      <c r="A17" s="11">
        <v>72.501000000000005</v>
      </c>
      <c r="B17" s="11">
        <v>17</v>
      </c>
    </row>
    <row r="18" spans="1:2">
      <c r="A18" s="11">
        <v>75.001000000000005</v>
      </c>
      <c r="B18" s="11">
        <v>18</v>
      </c>
    </row>
    <row r="19" spans="1:2">
      <c r="A19" s="11">
        <v>77.501000000000005</v>
      </c>
      <c r="B19" s="11">
        <v>19</v>
      </c>
    </row>
    <row r="20" spans="1:2">
      <c r="A20" s="11">
        <v>80.001000000000005</v>
      </c>
      <c r="B20" s="11">
        <v>20</v>
      </c>
    </row>
    <row r="21" spans="1:2" ht="17" thickBot="1">
      <c r="A21" s="12">
        <v>100</v>
      </c>
      <c r="B21" s="12">
        <v>20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8C46E-9758-EC49-9FFC-A9B825045363}">
  <dimension ref="A1:L23"/>
  <sheetViews>
    <sheetView workbookViewId="0">
      <selection activeCell="E54" sqref="E54"/>
    </sheetView>
  </sheetViews>
  <sheetFormatPr baseColWidth="10" defaultRowHeight="16"/>
  <cols>
    <col min="1" max="1" width="11.83203125" style="2" bestFit="1" customWidth="1"/>
    <col min="2" max="2" width="19.33203125" style="2" bestFit="1" customWidth="1"/>
    <col min="3" max="8" width="10.83203125" style="2"/>
    <col min="9" max="9" width="13.1640625" style="2" bestFit="1" customWidth="1"/>
    <col min="10" max="10" width="16.6640625" style="2" bestFit="1" customWidth="1"/>
    <col min="11" max="11" width="18.1640625" style="2" bestFit="1" customWidth="1"/>
    <col min="12" max="12" width="17.33203125" style="2" bestFit="1" customWidth="1"/>
    <col min="13" max="16384" width="10.83203125" style="2"/>
  </cols>
  <sheetData>
    <row r="1" spans="1:12">
      <c r="C1" s="2" t="s">
        <v>18</v>
      </c>
      <c r="D1" s="2" t="s">
        <v>19</v>
      </c>
      <c r="E1" s="2" t="s">
        <v>20</v>
      </c>
      <c r="G1" s="2" t="s">
        <v>2</v>
      </c>
      <c r="I1" s="2" t="s">
        <v>54</v>
      </c>
      <c r="J1" s="2" t="s">
        <v>53</v>
      </c>
      <c r="K1" s="2" t="s">
        <v>45</v>
      </c>
      <c r="L1" s="2" t="s">
        <v>52</v>
      </c>
    </row>
    <row r="2" spans="1:12">
      <c r="A2" s="2" t="s">
        <v>0</v>
      </c>
    </row>
    <row r="3" spans="1:12">
      <c r="B3" s="2" t="s">
        <v>23</v>
      </c>
      <c r="C3" s="4">
        <v>198.25</v>
      </c>
      <c r="D3" s="4">
        <v>216.5</v>
      </c>
      <c r="E3" s="4">
        <v>218</v>
      </c>
      <c r="F3" s="4"/>
      <c r="G3" s="4">
        <f>C3+D3+E3-MIN(C3,D3,E3)</f>
        <v>434.5</v>
      </c>
      <c r="I3" s="4">
        <f>ROUND(10*G3/MAX(G$3:G$4),2)</f>
        <v>10</v>
      </c>
      <c r="J3" s="16">
        <f>100*((C3+D3+E3)-MIN(C3,D3,E3))/660</f>
        <v>65.833333333333329</v>
      </c>
      <c r="K3" s="6">
        <f>IFERROR(VLOOKUP(J3,'Bonus Points'!$A$3:$B$21,2),0)</f>
        <v>14</v>
      </c>
      <c r="L3" s="4">
        <f t="shared" ref="L3" si="0">I3+K3</f>
        <v>24</v>
      </c>
    </row>
    <row r="4" spans="1:12">
      <c r="C4" s="4"/>
      <c r="D4" s="4"/>
      <c r="E4" s="4"/>
      <c r="F4" s="4"/>
      <c r="G4" s="4"/>
      <c r="I4" s="4"/>
      <c r="J4" s="16"/>
      <c r="K4" s="6"/>
      <c r="L4" s="4"/>
    </row>
    <row r="5" spans="1:12">
      <c r="A5" s="2" t="s">
        <v>3</v>
      </c>
      <c r="C5" s="4"/>
      <c r="D5" s="4"/>
      <c r="E5" s="4"/>
      <c r="G5" s="4"/>
      <c r="I5" s="4"/>
      <c r="J5" s="16"/>
      <c r="K5" s="6"/>
      <c r="L5" s="4"/>
    </row>
    <row r="6" spans="1:12">
      <c r="B6" s="2" t="s">
        <v>5</v>
      </c>
      <c r="C6" s="4">
        <v>235.25</v>
      </c>
      <c r="D6" s="4">
        <v>281.75</v>
      </c>
      <c r="E6" s="4">
        <v>253.5</v>
      </c>
      <c r="G6" s="4">
        <f t="shared" ref="G6:G8" si="1">C6+D6+E6-MIN(C6,D6,E6)</f>
        <v>535.25</v>
      </c>
      <c r="I6" s="4">
        <f t="shared" ref="I6:I8" si="2">ROUND(10*G6/MAX(G$3:G$4),2)</f>
        <v>12.32</v>
      </c>
      <c r="J6" s="16">
        <f t="shared" ref="J6:J8" si="3">100*((C6+D6+E6)-MIN(C6,D6,E6))/800</f>
        <v>66.90625</v>
      </c>
      <c r="K6" s="6">
        <f>IFERROR(VLOOKUP(J6,'Bonus Points'!$A$3:$B$21,2),0)</f>
        <v>14</v>
      </c>
      <c r="L6" s="4">
        <f t="shared" ref="L6:L8" si="4">I6+K6</f>
        <v>26.32</v>
      </c>
    </row>
    <row r="7" spans="1:12">
      <c r="B7" s="2" t="s">
        <v>65</v>
      </c>
      <c r="C7" s="4">
        <v>233.25</v>
      </c>
      <c r="D7" s="4">
        <v>263.25</v>
      </c>
      <c r="E7" s="4">
        <v>239.75</v>
      </c>
      <c r="G7" s="4">
        <f t="shared" si="1"/>
        <v>503</v>
      </c>
      <c r="I7" s="4">
        <f t="shared" si="2"/>
        <v>11.58</v>
      </c>
      <c r="J7" s="16">
        <f t="shared" si="3"/>
        <v>62.875</v>
      </c>
      <c r="K7" s="6">
        <f>IFERROR(VLOOKUP(J7,'Bonus Points'!$A$3:$B$21,2),0)</f>
        <v>13</v>
      </c>
      <c r="L7" s="4">
        <f t="shared" si="4"/>
        <v>24.58</v>
      </c>
    </row>
    <row r="8" spans="1:12">
      <c r="B8" s="2" t="s">
        <v>1</v>
      </c>
      <c r="C8" s="4">
        <v>196.5</v>
      </c>
      <c r="D8" s="4">
        <v>211.5</v>
      </c>
      <c r="E8" s="4">
        <v>196.5</v>
      </c>
      <c r="G8" s="4">
        <f t="shared" si="1"/>
        <v>408</v>
      </c>
      <c r="I8" s="4">
        <f t="shared" si="2"/>
        <v>9.39</v>
      </c>
      <c r="J8" s="16">
        <f t="shared" si="3"/>
        <v>51</v>
      </c>
      <c r="K8" s="6">
        <f>IFERROR(VLOOKUP(J8,'Bonus Points'!$A$3:$B$21,2),0)</f>
        <v>8</v>
      </c>
      <c r="L8" s="4">
        <f t="shared" si="4"/>
        <v>17.39</v>
      </c>
    </row>
    <row r="9" spans="1:12">
      <c r="C9" s="4"/>
      <c r="D9" s="4"/>
      <c r="E9" s="4"/>
      <c r="G9" s="4"/>
    </row>
    <row r="10" spans="1:12">
      <c r="A10" s="2" t="s">
        <v>6</v>
      </c>
      <c r="C10" s="4"/>
      <c r="D10" s="4"/>
      <c r="E10" s="4"/>
      <c r="G10" s="4"/>
    </row>
    <row r="11" spans="1:12">
      <c r="B11" s="2" t="s">
        <v>7</v>
      </c>
      <c r="C11" s="4">
        <v>321.75</v>
      </c>
      <c r="D11" s="4">
        <v>334.5</v>
      </c>
      <c r="E11" s="4">
        <v>342.25</v>
      </c>
      <c r="F11" s="4"/>
      <c r="G11" s="4">
        <f>C11+D11+E11-MIN(C11,D11,E11)</f>
        <v>676.75</v>
      </c>
      <c r="I11" s="4">
        <f>ROUND(10*G11/MAX(G$11:G$11),2)</f>
        <v>10</v>
      </c>
      <c r="J11" s="16">
        <f>100*((C11+D11+E11)-MIN(C11,D11,E11))/1060</f>
        <v>63.844339622641506</v>
      </c>
      <c r="K11" s="6">
        <f>IFERROR(VLOOKUP(J11,'Bonus Points'!$A$3:$B$21,2),0)</f>
        <v>13</v>
      </c>
      <c r="L11" s="4">
        <f t="shared" ref="L11" si="5">I11+K11</f>
        <v>23</v>
      </c>
    </row>
    <row r="12" spans="1:12">
      <c r="C12" s="4"/>
      <c r="D12" s="4"/>
      <c r="E12" s="4"/>
      <c r="G12" s="4"/>
    </row>
    <row r="13" spans="1:12">
      <c r="A13" s="2" t="s">
        <v>9</v>
      </c>
      <c r="C13" s="4"/>
      <c r="D13" s="4"/>
      <c r="E13" s="4"/>
      <c r="G13" s="4"/>
    </row>
    <row r="14" spans="1:12">
      <c r="B14" s="2" t="s">
        <v>11</v>
      </c>
      <c r="C14" s="4">
        <v>453</v>
      </c>
      <c r="D14" s="4">
        <v>463</v>
      </c>
      <c r="E14" s="4">
        <v>478.5</v>
      </c>
      <c r="F14" s="4"/>
      <c r="G14" s="4">
        <f t="shared" ref="G14:G23" si="6">C14+D14+E14-MIN(C14,D14,E14)</f>
        <v>941.5</v>
      </c>
      <c r="I14" s="4">
        <f t="shared" ref="I14:I23" si="7">ROUND(10*G14/MAX(G$14:G$22),2)</f>
        <v>10</v>
      </c>
      <c r="J14" s="16">
        <f t="shared" ref="J14:J23" si="8">100*((C14+D14+E14)-MIN(C14,D14,E14))/1200</f>
        <v>78.458333333333329</v>
      </c>
      <c r="K14" s="6">
        <f>IFERROR(VLOOKUP(J14,'Bonus Points'!$A$3:$B$21,2),0)</f>
        <v>19</v>
      </c>
      <c r="L14" s="4">
        <f t="shared" ref="L14:L22" si="9">I14+K14</f>
        <v>29</v>
      </c>
    </row>
    <row r="15" spans="1:12">
      <c r="B15" s="2" t="s">
        <v>29</v>
      </c>
      <c r="C15" s="4">
        <v>453.75</v>
      </c>
      <c r="D15" s="4">
        <v>461.25</v>
      </c>
      <c r="E15" s="4">
        <v>476</v>
      </c>
      <c r="F15" s="4"/>
      <c r="G15" s="4">
        <f t="shared" si="6"/>
        <v>937.25</v>
      </c>
      <c r="I15" s="4">
        <f t="shared" si="7"/>
        <v>9.9499999999999993</v>
      </c>
      <c r="J15" s="16">
        <f t="shared" si="8"/>
        <v>78.104166666666671</v>
      </c>
      <c r="K15" s="6">
        <f>IFERROR(VLOOKUP(J15,'Bonus Points'!$A$3:$B$21,2),0)</f>
        <v>19</v>
      </c>
      <c r="L15" s="4">
        <f t="shared" si="9"/>
        <v>28.95</v>
      </c>
    </row>
    <row r="16" spans="1:12">
      <c r="B16" s="2" t="s">
        <v>57</v>
      </c>
      <c r="C16" s="4">
        <v>443.5</v>
      </c>
      <c r="D16" s="4">
        <v>459.75</v>
      </c>
      <c r="E16" s="4">
        <v>472.75</v>
      </c>
      <c r="F16" s="4"/>
      <c r="G16" s="4">
        <f t="shared" si="6"/>
        <v>932.5</v>
      </c>
      <c r="I16" s="4">
        <f t="shared" si="7"/>
        <v>9.9</v>
      </c>
      <c r="J16" s="16">
        <f t="shared" si="8"/>
        <v>77.708333333333329</v>
      </c>
      <c r="K16" s="6">
        <f>IFERROR(VLOOKUP(J16,'Bonus Points'!$A$3:$B$21,2),0)</f>
        <v>19</v>
      </c>
      <c r="L16" s="4">
        <f t="shared" si="9"/>
        <v>28.9</v>
      </c>
    </row>
    <row r="17" spans="2:12">
      <c r="B17" s="2" t="s">
        <v>14</v>
      </c>
      <c r="C17" s="4">
        <v>415.5</v>
      </c>
      <c r="D17" s="4">
        <v>420.5</v>
      </c>
      <c r="E17" s="4">
        <v>421.5</v>
      </c>
      <c r="F17" s="4"/>
      <c r="G17" s="4">
        <f t="shared" si="6"/>
        <v>842</v>
      </c>
      <c r="I17" s="4">
        <f t="shared" si="7"/>
        <v>8.94</v>
      </c>
      <c r="J17" s="16">
        <f t="shared" si="8"/>
        <v>70.166666666666671</v>
      </c>
      <c r="K17" s="6">
        <f>IFERROR(VLOOKUP(J17,'Bonus Points'!$A$3:$B$21,2),0)</f>
        <v>16</v>
      </c>
      <c r="L17" s="4">
        <f t="shared" si="9"/>
        <v>24.939999999999998</v>
      </c>
    </row>
    <row r="18" spans="2:12">
      <c r="B18" s="2" t="s">
        <v>24</v>
      </c>
      <c r="C18" s="4">
        <v>420</v>
      </c>
      <c r="D18" s="4">
        <v>419.25</v>
      </c>
      <c r="E18" s="4">
        <v>414.25</v>
      </c>
      <c r="F18" s="4"/>
      <c r="G18" s="4">
        <f t="shared" si="6"/>
        <v>839.25</v>
      </c>
      <c r="I18" s="4">
        <f t="shared" si="7"/>
        <v>8.91</v>
      </c>
      <c r="J18" s="16">
        <f t="shared" si="8"/>
        <v>69.9375</v>
      </c>
      <c r="K18" s="6">
        <f>IFERROR(VLOOKUP(J18,'Bonus Points'!$A$3:$B$21,2),0)</f>
        <v>15</v>
      </c>
      <c r="L18" s="4">
        <f t="shared" si="9"/>
        <v>23.91</v>
      </c>
    </row>
    <row r="19" spans="2:12">
      <c r="B19" s="2" t="s">
        <v>28</v>
      </c>
      <c r="C19" s="4">
        <v>383.25</v>
      </c>
      <c r="D19" s="4">
        <v>389.25</v>
      </c>
      <c r="E19" s="4">
        <v>396</v>
      </c>
      <c r="F19" s="4"/>
      <c r="G19" s="4">
        <f t="shared" si="6"/>
        <v>785.25</v>
      </c>
      <c r="I19" s="4">
        <f t="shared" si="7"/>
        <v>8.34</v>
      </c>
      <c r="J19" s="16">
        <f t="shared" si="8"/>
        <v>65.4375</v>
      </c>
      <c r="K19" s="6">
        <f>IFERROR(VLOOKUP(J19,'Bonus Points'!$A$3:$B$21,2),0)</f>
        <v>14</v>
      </c>
      <c r="L19" s="4">
        <f t="shared" si="9"/>
        <v>22.34</v>
      </c>
    </row>
    <row r="20" spans="2:12">
      <c r="B20" s="2" t="s">
        <v>69</v>
      </c>
      <c r="C20" s="4">
        <v>381.5</v>
      </c>
      <c r="D20" s="4">
        <v>377.75</v>
      </c>
      <c r="E20" s="4">
        <v>371.5</v>
      </c>
      <c r="F20" s="4"/>
      <c r="G20" s="4">
        <f t="shared" si="6"/>
        <v>759.25</v>
      </c>
      <c r="I20" s="4">
        <f t="shared" si="7"/>
        <v>8.06</v>
      </c>
      <c r="J20" s="16">
        <f t="shared" si="8"/>
        <v>63.270833333333336</v>
      </c>
      <c r="K20" s="6">
        <f>IFERROR(VLOOKUP(J20,'Bonus Points'!$A$3:$B$21,2),0)</f>
        <v>13</v>
      </c>
      <c r="L20" s="4">
        <f t="shared" si="9"/>
        <v>21.060000000000002</v>
      </c>
    </row>
    <row r="21" spans="2:12">
      <c r="B21" s="2" t="s">
        <v>4</v>
      </c>
      <c r="C21" s="4">
        <v>350</v>
      </c>
      <c r="D21" s="4">
        <v>377.25</v>
      </c>
      <c r="E21" s="4">
        <v>350.75</v>
      </c>
      <c r="F21" s="4"/>
      <c r="G21" s="4">
        <f t="shared" si="6"/>
        <v>728</v>
      </c>
      <c r="I21" s="4">
        <f t="shared" si="7"/>
        <v>7.73</v>
      </c>
      <c r="J21" s="16">
        <f t="shared" si="8"/>
        <v>60.666666666666664</v>
      </c>
      <c r="K21" s="6">
        <f>IFERROR(VLOOKUP(J21,'Bonus Points'!$A$3:$B$21,2),0)</f>
        <v>12</v>
      </c>
      <c r="L21" s="4">
        <f t="shared" si="9"/>
        <v>19.73</v>
      </c>
    </row>
    <row r="22" spans="2:12">
      <c r="B22" s="2" t="s">
        <v>32</v>
      </c>
      <c r="C22" s="4">
        <v>340.75</v>
      </c>
      <c r="D22" s="4">
        <v>359.5</v>
      </c>
      <c r="E22" s="4">
        <v>361.75</v>
      </c>
      <c r="F22" s="4"/>
      <c r="G22" s="4">
        <f t="shared" si="6"/>
        <v>721.25</v>
      </c>
      <c r="I22" s="4">
        <f t="shared" si="7"/>
        <v>7.66</v>
      </c>
      <c r="J22" s="16">
        <f t="shared" si="8"/>
        <v>60.104166666666664</v>
      </c>
      <c r="K22" s="6">
        <f>IFERROR(VLOOKUP(J22,'Bonus Points'!$A$3:$B$21,2),0)</f>
        <v>12</v>
      </c>
      <c r="L22" s="4">
        <f t="shared" si="9"/>
        <v>19.66</v>
      </c>
    </row>
    <row r="23" spans="2:12">
      <c r="B23" s="2" t="s">
        <v>17</v>
      </c>
      <c r="C23" s="4">
        <v>305.25</v>
      </c>
      <c r="D23" s="4">
        <v>298.75</v>
      </c>
      <c r="E23" s="4">
        <v>58</v>
      </c>
      <c r="G23" s="4">
        <f t="shared" si="6"/>
        <v>604</v>
      </c>
      <c r="I23" s="4">
        <f t="shared" si="7"/>
        <v>6.42</v>
      </c>
      <c r="J23" s="16">
        <f t="shared" si="8"/>
        <v>50.333333333333336</v>
      </c>
      <c r="K23" s="6">
        <f>IFERROR(VLOOKUP(J23,'Bonus Points'!$A$3:$B$21,2),0)</f>
        <v>8</v>
      </c>
      <c r="L23" s="4">
        <f t="shared" ref="L23" si="10">I23+K23</f>
        <v>14.42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2681E-A29B-604C-BE0A-B486145006F2}">
  <dimension ref="A1:AA35"/>
  <sheetViews>
    <sheetView topLeftCell="G1" workbookViewId="0">
      <selection activeCell="AD34" sqref="AD34"/>
    </sheetView>
  </sheetViews>
  <sheetFormatPr baseColWidth="10" defaultRowHeight="16"/>
  <cols>
    <col min="1" max="1" width="17.5" bestFit="1" customWidth="1"/>
    <col min="2" max="2" width="20.5" bestFit="1" customWidth="1"/>
    <col min="14" max="14" width="10.5" bestFit="1" customWidth="1"/>
    <col min="15" max="15" width="23.6640625" bestFit="1" customWidth="1"/>
    <col min="19" max="19" width="13.1640625" bestFit="1" customWidth="1"/>
    <col min="20" max="20" width="16.6640625" bestFit="1" customWidth="1"/>
    <col min="21" max="21" width="18.1640625" bestFit="1" customWidth="1"/>
    <col min="22" max="22" width="17.33203125" bestFit="1" customWidth="1"/>
  </cols>
  <sheetData>
    <row r="1" spans="1:27">
      <c r="C1" t="s">
        <v>18</v>
      </c>
      <c r="E1" t="s">
        <v>19</v>
      </c>
      <c r="G1" t="s">
        <v>20</v>
      </c>
      <c r="I1" t="s">
        <v>37</v>
      </c>
      <c r="K1" t="s">
        <v>38</v>
      </c>
      <c r="N1" t="s">
        <v>2</v>
      </c>
      <c r="S1" t="s">
        <v>54</v>
      </c>
      <c r="T1" t="s">
        <v>53</v>
      </c>
      <c r="U1" t="s">
        <v>45</v>
      </c>
      <c r="V1" t="s">
        <v>52</v>
      </c>
      <c r="X1" t="s">
        <v>18</v>
      </c>
      <c r="Y1" t="s">
        <v>19</v>
      </c>
      <c r="Z1" t="s">
        <v>20</v>
      </c>
      <c r="AA1" t="s">
        <v>37</v>
      </c>
    </row>
    <row r="2" spans="1:27">
      <c r="C2" t="s">
        <v>21</v>
      </c>
      <c r="D2" t="s">
        <v>22</v>
      </c>
      <c r="E2" t="s">
        <v>21</v>
      </c>
      <c r="F2" t="s">
        <v>22</v>
      </c>
      <c r="G2" t="s">
        <v>21</v>
      </c>
      <c r="H2" t="s">
        <v>22</v>
      </c>
      <c r="I2" t="s">
        <v>21</v>
      </c>
      <c r="J2" t="s">
        <v>22</v>
      </c>
      <c r="K2" t="s">
        <v>21</v>
      </c>
      <c r="L2" t="s">
        <v>22</v>
      </c>
      <c r="X2" t="s">
        <v>21</v>
      </c>
      <c r="Y2" t="s">
        <v>21</v>
      </c>
      <c r="Z2" t="s">
        <v>21</v>
      </c>
      <c r="AA2" t="s">
        <v>21</v>
      </c>
    </row>
    <row r="3" spans="1:27">
      <c r="A3" t="s">
        <v>0</v>
      </c>
    </row>
    <row r="4" spans="1:27">
      <c r="B4" t="s">
        <v>23</v>
      </c>
      <c r="C4" s="1">
        <v>0</v>
      </c>
      <c r="D4" s="1">
        <v>0</v>
      </c>
      <c r="E4" s="1">
        <v>0</v>
      </c>
      <c r="F4" s="1">
        <v>0</v>
      </c>
      <c r="G4" s="1">
        <v>190.5</v>
      </c>
      <c r="H4" s="1">
        <f>ROUNDUP(1000*G4/MAX(G$4:G$4),2)</f>
        <v>1000</v>
      </c>
      <c r="I4" s="1">
        <v>204</v>
      </c>
      <c r="J4" s="1">
        <f>ROUNDUP(1000*I4/MAX(I$4:I$4),2)</f>
        <v>1000</v>
      </c>
      <c r="K4" s="1"/>
      <c r="L4" s="1"/>
      <c r="M4" s="1"/>
      <c r="N4" s="1">
        <f>D4+F4+H4+J4-MIN(D4,F4,H4,J4)</f>
        <v>2000</v>
      </c>
      <c r="S4" s="1">
        <f>ROUND(10*N4/MAX(N$4:N$4),2)</f>
        <v>10</v>
      </c>
      <c r="T4" s="1">
        <f>100*(LARGE(X4:AA4,1)+LARGE(X4:AA4,2)+LARGE(X4:AA4,3))/990</f>
        <v>39.848484848484851</v>
      </c>
      <c r="U4" s="5">
        <f>IFERROR(VLOOKUP(T4,'Bonus Points'!$A$3:$B$21,2),0)</f>
        <v>2</v>
      </c>
      <c r="V4" s="1">
        <f>S4+U4</f>
        <v>12</v>
      </c>
      <c r="X4" s="1">
        <f>C4</f>
        <v>0</v>
      </c>
      <c r="Y4" s="1">
        <f>E4</f>
        <v>0</v>
      </c>
      <c r="Z4" s="1">
        <f>G4</f>
        <v>190.5</v>
      </c>
      <c r="AA4" s="1">
        <f>I4</f>
        <v>204</v>
      </c>
    </row>
    <row r="5" spans="1:27">
      <c r="T5" s="1"/>
    </row>
    <row r="6" spans="1:27">
      <c r="A6" t="s">
        <v>3</v>
      </c>
    </row>
    <row r="7" spans="1:27">
      <c r="B7" t="s">
        <v>5</v>
      </c>
      <c r="C7" s="1">
        <v>251.25</v>
      </c>
      <c r="D7" s="1">
        <f>ROUNDUP(1000*C7/MAX(C$7:C$7),2)</f>
        <v>1000</v>
      </c>
      <c r="E7" s="1">
        <v>230</v>
      </c>
      <c r="F7" s="1">
        <f>ROUNDUP(1000*E7/MAX(E$7:E$7),2)</f>
        <v>1000</v>
      </c>
      <c r="G7" s="1">
        <v>255.25</v>
      </c>
      <c r="H7" s="1">
        <f>ROUNDUP(1000*G7/MAX(G$7:G$7),2)</f>
        <v>1000</v>
      </c>
      <c r="I7" s="1">
        <v>278.5</v>
      </c>
      <c r="J7" s="1">
        <f>ROUNDUP(1000*I7/MAX(I$7:I$7),2)</f>
        <v>1000</v>
      </c>
      <c r="K7" s="1"/>
      <c r="L7" s="1"/>
      <c r="M7" s="1"/>
      <c r="N7" s="1">
        <f>D7+F7+H7+J7-MIN(D7,F7,H7,J7)</f>
        <v>3000</v>
      </c>
      <c r="S7" s="1">
        <f>ROUND(10*N7/MAX(N$7:N$7),2)</f>
        <v>10</v>
      </c>
      <c r="T7" s="1">
        <f>100*(LARGE(X7:AA7,1)+LARGE(X7:AA7,2)+LARGE(X7:AA7,3))/1200</f>
        <v>65.416666666666671</v>
      </c>
      <c r="U7" s="5">
        <f>IFERROR(VLOOKUP(T7,'Bonus Points'!$A$3:$B$21,2),0)</f>
        <v>14</v>
      </c>
      <c r="V7" s="1">
        <f t="shared" ref="V7" si="0">S7+U7</f>
        <v>24</v>
      </c>
      <c r="X7" s="1">
        <f>C7</f>
        <v>251.25</v>
      </c>
      <c r="Y7" s="1">
        <f>E7</f>
        <v>230</v>
      </c>
      <c r="Z7" s="1">
        <f>G7</f>
        <v>255.25</v>
      </c>
      <c r="AA7" s="1">
        <f>I7</f>
        <v>278.5</v>
      </c>
    </row>
    <row r="8" spans="1:27">
      <c r="T8" s="1"/>
    </row>
    <row r="9" spans="1:27">
      <c r="A9" t="s">
        <v>6</v>
      </c>
      <c r="T9" s="1"/>
      <c r="U9" s="5"/>
    </row>
    <row r="10" spans="1:27">
      <c r="B10" t="s">
        <v>7</v>
      </c>
      <c r="C10" s="1">
        <v>326.75</v>
      </c>
      <c r="D10" s="1">
        <f>ROUNDUP(1000*C10/MAX(C$10:C$10),2)</f>
        <v>1000</v>
      </c>
      <c r="E10" s="1">
        <v>319.5</v>
      </c>
      <c r="F10" s="1">
        <f>ROUNDUP(1000*E10/MAX(E$10:E$10),2)</f>
        <v>1000</v>
      </c>
      <c r="G10" s="1">
        <v>334.5</v>
      </c>
      <c r="H10" s="1">
        <f>ROUNDUP(1000*G10/MAX(G$10:G$10),2)</f>
        <v>1000</v>
      </c>
      <c r="I10" s="1">
        <v>302.75</v>
      </c>
      <c r="J10" s="1">
        <f>ROUNDUP(1000*I10/MAX(I$10:I$10),2)</f>
        <v>1000</v>
      </c>
      <c r="K10" s="1"/>
      <c r="L10" s="1"/>
      <c r="M10" s="1"/>
      <c r="N10" s="1">
        <f>D10+F10+H10+J10-MIN(D10,F10,H10,J10)</f>
        <v>3000</v>
      </c>
      <c r="S10" s="1">
        <f>ROUND(10*N10/MAX(N$10:N$10),2)</f>
        <v>10</v>
      </c>
      <c r="T10" s="1">
        <f>100*(LARGE(X10:AA10,1)+LARGE(X10:AA10,2)+LARGE(X10:AA10,3))/1590</f>
        <v>61.682389937106919</v>
      </c>
      <c r="U10" s="5">
        <f>IFERROR(VLOOKUP(T10,'Bonus Points'!$A$3:$B$21,2),0)</f>
        <v>12</v>
      </c>
      <c r="V10" s="1">
        <f t="shared" ref="V10" si="1">S10+U10</f>
        <v>22</v>
      </c>
      <c r="X10" s="1">
        <f>C10</f>
        <v>326.75</v>
      </c>
      <c r="Y10" s="1">
        <f>E10</f>
        <v>319.5</v>
      </c>
      <c r="Z10" s="1">
        <f>G10</f>
        <v>334.5</v>
      </c>
      <c r="AA10" s="1">
        <f>I10</f>
        <v>302.75</v>
      </c>
    </row>
    <row r="11" spans="1:27">
      <c r="T11" s="1"/>
    </row>
    <row r="12" spans="1:27">
      <c r="A12" t="s">
        <v>39</v>
      </c>
      <c r="T12" s="1"/>
    </row>
    <row r="13" spans="1:27">
      <c r="B13" t="s">
        <v>24</v>
      </c>
      <c r="C13" s="1">
        <v>430.25</v>
      </c>
      <c r="D13" s="1">
        <f t="shared" ref="D13:D19" si="2">ROUNDUP(1000*C13/MAX(C$13:C$19),2)</f>
        <v>1000</v>
      </c>
      <c r="E13" s="1">
        <v>434.75</v>
      </c>
      <c r="F13" s="1">
        <f t="shared" ref="F13:F19" si="3">ROUNDUP(1000*E13/MAX(E$13:E$19),2)</f>
        <v>1000</v>
      </c>
      <c r="G13" s="1">
        <v>416.5</v>
      </c>
      <c r="H13" s="1">
        <f t="shared" ref="H13:H19" si="4">ROUNDUP(1000*G13/MAX(G$13:G$19),2)</f>
        <v>1000</v>
      </c>
      <c r="I13" s="1">
        <v>422.5</v>
      </c>
      <c r="J13" s="1">
        <f t="shared" ref="J13:J19" si="5">ROUNDUP(1000*I13/MAX(I$13:I$19),2)</f>
        <v>1000</v>
      </c>
      <c r="K13" s="1"/>
      <c r="L13" s="1"/>
      <c r="M13" s="1"/>
      <c r="N13" s="1">
        <f t="shared" ref="N13:N19" si="6">D13+F13+H13+J13-MIN(D13,F13,H13,J13)</f>
        <v>3000</v>
      </c>
      <c r="S13" s="1">
        <f t="shared" ref="S13:S19" si="7">ROUND(10*N13/MAX(N$13:N$19),2)</f>
        <v>10</v>
      </c>
      <c r="T13" s="1">
        <f t="shared" ref="T13:T19" si="8">100*(LARGE(X13:AA13,1)+LARGE(X13:AA13,2)+LARGE(X13:AA13,3))/1800</f>
        <v>71.527777777777771</v>
      </c>
      <c r="U13" s="5">
        <f>IFERROR(VLOOKUP(T13,'Bonus Points'!$A$3:$B$21,2),0)</f>
        <v>16</v>
      </c>
      <c r="V13" s="1">
        <f t="shared" ref="V13:V19" si="9">S13+U13</f>
        <v>26</v>
      </c>
      <c r="X13" s="1">
        <f t="shared" ref="X13:X19" si="10">C13</f>
        <v>430.25</v>
      </c>
      <c r="Y13" s="1">
        <f t="shared" ref="Y13:Y19" si="11">E13</f>
        <v>434.75</v>
      </c>
      <c r="Z13" s="1">
        <f t="shared" ref="Z13:Z19" si="12">G13</f>
        <v>416.5</v>
      </c>
      <c r="AA13" s="1">
        <f t="shared" ref="AA13:AA19" si="13">I13</f>
        <v>422.5</v>
      </c>
    </row>
    <row r="14" spans="1:27">
      <c r="B14" t="s">
        <v>28</v>
      </c>
      <c r="C14" s="1">
        <v>360.5</v>
      </c>
      <c r="D14" s="1">
        <f t="shared" si="2"/>
        <v>837.89</v>
      </c>
      <c r="E14" s="1">
        <v>398</v>
      </c>
      <c r="F14" s="1">
        <f t="shared" si="3"/>
        <v>915.47</v>
      </c>
      <c r="G14" s="1">
        <v>387.25</v>
      </c>
      <c r="H14" s="1">
        <f t="shared" si="4"/>
        <v>929.78</v>
      </c>
      <c r="I14" s="1">
        <v>412.5</v>
      </c>
      <c r="J14" s="1">
        <f t="shared" si="5"/>
        <v>976.34</v>
      </c>
      <c r="K14" s="1"/>
      <c r="L14" s="1"/>
      <c r="M14" s="1"/>
      <c r="N14" s="1">
        <f t="shared" si="6"/>
        <v>2821.5900000000006</v>
      </c>
      <c r="S14" s="1">
        <f t="shared" si="7"/>
        <v>9.41</v>
      </c>
      <c r="T14" s="1">
        <f t="shared" si="8"/>
        <v>66.541666666666671</v>
      </c>
      <c r="U14" s="5">
        <f>IFERROR(VLOOKUP(T14,'Bonus Points'!$A$3:$B$21,2),0)</f>
        <v>14</v>
      </c>
      <c r="V14" s="1">
        <f t="shared" si="9"/>
        <v>23.41</v>
      </c>
      <c r="X14" s="1">
        <f t="shared" si="10"/>
        <v>360.5</v>
      </c>
      <c r="Y14" s="1">
        <f t="shared" si="11"/>
        <v>398</v>
      </c>
      <c r="Z14" s="1">
        <f t="shared" si="12"/>
        <v>387.25</v>
      </c>
      <c r="AA14" s="1">
        <f t="shared" si="13"/>
        <v>412.5</v>
      </c>
    </row>
    <row r="15" spans="1:27">
      <c r="B15" t="s">
        <v>69</v>
      </c>
      <c r="C15" s="1">
        <v>349</v>
      </c>
      <c r="D15" s="1">
        <f t="shared" si="2"/>
        <v>811.16</v>
      </c>
      <c r="E15" s="1">
        <v>371</v>
      </c>
      <c r="F15" s="1">
        <f t="shared" si="3"/>
        <v>853.37</v>
      </c>
      <c r="G15" s="1">
        <v>352.25</v>
      </c>
      <c r="H15" s="1">
        <f t="shared" si="4"/>
        <v>845.74</v>
      </c>
      <c r="I15" s="1">
        <v>350.5</v>
      </c>
      <c r="J15" s="1">
        <f t="shared" si="5"/>
        <v>829.59</v>
      </c>
      <c r="K15" s="1"/>
      <c r="L15" s="1"/>
      <c r="M15" s="1"/>
      <c r="N15" s="1">
        <f t="shared" si="6"/>
        <v>2528.7000000000003</v>
      </c>
      <c r="S15" s="1">
        <f t="shared" si="7"/>
        <v>8.43</v>
      </c>
      <c r="T15" s="1">
        <f t="shared" si="8"/>
        <v>59.652777777777779</v>
      </c>
      <c r="U15" s="5">
        <f>IFERROR(VLOOKUP(T15,'Bonus Points'!$A$3:$B$21,2),0)</f>
        <v>11</v>
      </c>
      <c r="V15" s="1">
        <f t="shared" si="9"/>
        <v>19.43</v>
      </c>
      <c r="X15" s="1">
        <f t="shared" si="10"/>
        <v>349</v>
      </c>
      <c r="Y15" s="1">
        <f t="shared" si="11"/>
        <v>371</v>
      </c>
      <c r="Z15" s="1">
        <f t="shared" si="12"/>
        <v>352.25</v>
      </c>
      <c r="AA15" s="1">
        <f t="shared" si="13"/>
        <v>350.5</v>
      </c>
    </row>
    <row r="16" spans="1:27">
      <c r="B16" t="s">
        <v>4</v>
      </c>
      <c r="C16" s="1">
        <v>354.75</v>
      </c>
      <c r="D16" s="1">
        <f t="shared" si="2"/>
        <v>824.53</v>
      </c>
      <c r="E16" s="1">
        <v>348.5</v>
      </c>
      <c r="F16" s="1">
        <f t="shared" si="3"/>
        <v>801.62</v>
      </c>
      <c r="G16" s="1">
        <v>297</v>
      </c>
      <c r="H16" s="1">
        <f t="shared" si="4"/>
        <v>713.09</v>
      </c>
      <c r="I16" s="1">
        <v>343.75</v>
      </c>
      <c r="J16" s="1">
        <f t="shared" si="5"/>
        <v>813.61</v>
      </c>
      <c r="K16" s="1"/>
      <c r="L16" s="1"/>
      <c r="M16" s="1"/>
      <c r="N16" s="1">
        <f t="shared" si="6"/>
        <v>2439.7600000000002</v>
      </c>
      <c r="S16" s="1">
        <f t="shared" si="7"/>
        <v>8.1300000000000008</v>
      </c>
      <c r="T16" s="1">
        <f t="shared" si="8"/>
        <v>58.166666666666664</v>
      </c>
      <c r="U16" s="5">
        <f>IFERROR(VLOOKUP(T16,'Bonus Points'!$A$3:$B$21,2),0)</f>
        <v>11</v>
      </c>
      <c r="V16" s="1">
        <f t="shared" si="9"/>
        <v>19.130000000000003</v>
      </c>
      <c r="X16" s="1">
        <f t="shared" si="10"/>
        <v>354.75</v>
      </c>
      <c r="Y16" s="1">
        <f t="shared" si="11"/>
        <v>348.5</v>
      </c>
      <c r="Z16" s="1">
        <f t="shared" si="12"/>
        <v>297</v>
      </c>
      <c r="AA16" s="1">
        <f t="shared" si="13"/>
        <v>343.75</v>
      </c>
    </row>
    <row r="17" spans="1:27">
      <c r="B17" t="s">
        <v>31</v>
      </c>
      <c r="C17" s="1">
        <v>365</v>
      </c>
      <c r="D17" s="1">
        <f t="shared" si="2"/>
        <v>848.35</v>
      </c>
      <c r="E17" s="1">
        <v>344.5</v>
      </c>
      <c r="F17" s="1">
        <f t="shared" si="3"/>
        <v>792.41</v>
      </c>
      <c r="G17" s="1">
        <v>320.25</v>
      </c>
      <c r="H17" s="1">
        <f t="shared" si="4"/>
        <v>768.91</v>
      </c>
      <c r="I17" s="1">
        <v>311.5</v>
      </c>
      <c r="J17" s="1">
        <f t="shared" si="5"/>
        <v>737.28</v>
      </c>
      <c r="K17" s="1"/>
      <c r="L17" s="1"/>
      <c r="M17" s="1"/>
      <c r="N17" s="1">
        <f t="shared" si="6"/>
        <v>2409.67</v>
      </c>
      <c r="S17" s="1">
        <f t="shared" si="7"/>
        <v>8.0299999999999994</v>
      </c>
      <c r="T17" s="1">
        <f t="shared" si="8"/>
        <v>57.208333333333336</v>
      </c>
      <c r="U17" s="5">
        <f>IFERROR(VLOOKUP(T17,'Bonus Points'!$A$3:$B$21,2),0)</f>
        <v>10</v>
      </c>
      <c r="V17" s="1">
        <f t="shared" si="9"/>
        <v>18.03</v>
      </c>
      <c r="X17" s="1">
        <f t="shared" si="10"/>
        <v>365</v>
      </c>
      <c r="Y17" s="1">
        <f t="shared" si="11"/>
        <v>344.5</v>
      </c>
      <c r="Z17" s="1">
        <f t="shared" si="12"/>
        <v>320.25</v>
      </c>
      <c r="AA17" s="1">
        <f t="shared" si="13"/>
        <v>311.5</v>
      </c>
    </row>
    <row r="18" spans="1:27">
      <c r="B18" t="s">
        <v>16</v>
      </c>
      <c r="C18" s="1">
        <v>300.75</v>
      </c>
      <c r="D18" s="1">
        <f t="shared" si="2"/>
        <v>699.02</v>
      </c>
      <c r="E18" s="1">
        <v>343.25</v>
      </c>
      <c r="F18" s="1">
        <f t="shared" si="3"/>
        <v>789.54</v>
      </c>
      <c r="G18" s="1">
        <v>334.75</v>
      </c>
      <c r="H18" s="1">
        <f t="shared" si="4"/>
        <v>803.73</v>
      </c>
      <c r="I18" s="1">
        <v>341.5</v>
      </c>
      <c r="J18" s="1">
        <f t="shared" si="5"/>
        <v>808.29</v>
      </c>
      <c r="K18" s="1"/>
      <c r="L18" s="1"/>
      <c r="M18" s="1"/>
      <c r="N18" s="1">
        <f t="shared" si="6"/>
        <v>2401.56</v>
      </c>
      <c r="S18" s="1">
        <f t="shared" si="7"/>
        <v>8.01</v>
      </c>
      <c r="T18" s="1">
        <f t="shared" si="8"/>
        <v>56.638888888888886</v>
      </c>
      <c r="U18" s="5">
        <f>IFERROR(VLOOKUP(T18,'Bonus Points'!$A$3:$B$21,2),0)</f>
        <v>10</v>
      </c>
      <c r="V18" s="1">
        <f t="shared" si="9"/>
        <v>18.009999999999998</v>
      </c>
      <c r="X18" s="1">
        <f t="shared" si="10"/>
        <v>300.75</v>
      </c>
      <c r="Y18" s="1">
        <f t="shared" si="11"/>
        <v>343.25</v>
      </c>
      <c r="Z18" s="1">
        <f t="shared" si="12"/>
        <v>334.75</v>
      </c>
      <c r="AA18" s="1">
        <f t="shared" si="13"/>
        <v>341.5</v>
      </c>
    </row>
    <row r="19" spans="1:27">
      <c r="B19" t="s">
        <v>25</v>
      </c>
      <c r="C19" s="1">
        <v>316.75</v>
      </c>
      <c r="D19" s="1">
        <f t="shared" si="2"/>
        <v>736.2</v>
      </c>
      <c r="E19" s="1">
        <v>344.75</v>
      </c>
      <c r="F19" s="1">
        <f t="shared" si="3"/>
        <v>792.99</v>
      </c>
      <c r="G19" s="1">
        <v>248</v>
      </c>
      <c r="H19" s="1">
        <f t="shared" si="4"/>
        <v>595.43999999999994</v>
      </c>
      <c r="I19" s="1">
        <v>328.75</v>
      </c>
      <c r="J19" s="1">
        <f t="shared" si="5"/>
        <v>778.11</v>
      </c>
      <c r="K19" s="1"/>
      <c r="L19" s="1"/>
      <c r="M19" s="1"/>
      <c r="N19" s="1">
        <f t="shared" si="6"/>
        <v>2307.3000000000002</v>
      </c>
      <c r="S19" s="1">
        <f t="shared" si="7"/>
        <v>7.69</v>
      </c>
      <c r="T19" s="1">
        <f t="shared" si="8"/>
        <v>55.013888888888886</v>
      </c>
      <c r="U19" s="5">
        <f>IFERROR(VLOOKUP(T19,'Bonus Points'!$A$3:$B$21,2),0)</f>
        <v>10</v>
      </c>
      <c r="V19" s="1">
        <f t="shared" si="9"/>
        <v>17.690000000000001</v>
      </c>
      <c r="X19" s="1">
        <f t="shared" si="10"/>
        <v>316.75</v>
      </c>
      <c r="Y19" s="1">
        <f t="shared" si="11"/>
        <v>344.75</v>
      </c>
      <c r="Z19" s="1">
        <f t="shared" si="12"/>
        <v>248</v>
      </c>
      <c r="AA19" s="1">
        <f t="shared" si="13"/>
        <v>328.75</v>
      </c>
    </row>
    <row r="20" spans="1:27">
      <c r="T20" s="1"/>
      <c r="U20" s="5"/>
    </row>
    <row r="21" spans="1:27">
      <c r="A21" t="s">
        <v>40</v>
      </c>
      <c r="N21" t="s">
        <v>70</v>
      </c>
      <c r="O21" t="s">
        <v>72</v>
      </c>
      <c r="P21" t="s">
        <v>71</v>
      </c>
      <c r="Q21" t="s">
        <v>2</v>
      </c>
      <c r="T21" s="1"/>
      <c r="U21" s="5"/>
    </row>
    <row r="22" spans="1:27">
      <c r="B22" t="s">
        <v>42</v>
      </c>
      <c r="C22" s="1">
        <v>472.5</v>
      </c>
      <c r="D22" s="1">
        <f>ROUNDUP(1000*C22/MAX(C$22:C$25),2)</f>
        <v>1000</v>
      </c>
      <c r="E22" s="1">
        <v>485</v>
      </c>
      <c r="F22" s="1">
        <f>ROUNDUP(1000*E22/MAX(E$22:E$25),2)</f>
        <v>1000</v>
      </c>
      <c r="G22" s="1">
        <v>476.25</v>
      </c>
      <c r="H22" s="1">
        <f>ROUNDUP(1000*G22/MAX(G$22:G$25),2)</f>
        <v>1000</v>
      </c>
      <c r="I22" s="1">
        <v>490.75</v>
      </c>
      <c r="J22" s="1">
        <f>ROUNDUP(1000*I22/MAX(I$22:I$25),2)</f>
        <v>1000</v>
      </c>
      <c r="K22" s="1">
        <v>536.5</v>
      </c>
      <c r="L22" s="1">
        <f>ROUNDUP(1000*K22/MAX(K$22:K$25),2)</f>
        <v>1000</v>
      </c>
      <c r="N22" s="1">
        <f>(D22+F22+H22+J22-MIN(D22,F22,H22,J22))</f>
        <v>3000</v>
      </c>
      <c r="O22" s="1">
        <f>1000*N22/MAX(N$22:N$26)</f>
        <v>1000</v>
      </c>
      <c r="P22" s="1">
        <f>L22</f>
        <v>1000</v>
      </c>
      <c r="Q22" s="1">
        <f>O22+P22</f>
        <v>2000</v>
      </c>
      <c r="T22" s="1"/>
      <c r="U22" s="5"/>
      <c r="X22" s="1"/>
      <c r="Y22" s="1"/>
      <c r="Z22" s="1"/>
      <c r="AA22" s="1"/>
    </row>
    <row r="23" spans="1:27">
      <c r="B23" t="s">
        <v>11</v>
      </c>
      <c r="C23" s="1">
        <v>467</v>
      </c>
      <c r="D23" s="1">
        <f t="shared" ref="D23:F26" si="14">ROUNDUP(1000*C23/MAX(C$22:C$25),2)</f>
        <v>988.36</v>
      </c>
      <c r="E23" s="1">
        <v>471</v>
      </c>
      <c r="F23" s="1">
        <f t="shared" si="14"/>
        <v>971.14</v>
      </c>
      <c r="G23" s="1">
        <v>469.5</v>
      </c>
      <c r="H23" s="1">
        <f t="shared" ref="H23" si="15">ROUNDUP(1000*G23/MAX(G$22:G$25),2)</f>
        <v>985.83</v>
      </c>
      <c r="I23" s="1">
        <v>462.25</v>
      </c>
      <c r="J23" s="1">
        <f t="shared" ref="J23:L23" si="16">ROUNDUP(1000*I23/MAX(I$22:I$25),2)</f>
        <v>941.93</v>
      </c>
      <c r="K23" s="1">
        <v>491.5</v>
      </c>
      <c r="L23" s="1">
        <f t="shared" si="16"/>
        <v>916.13</v>
      </c>
      <c r="N23" s="1">
        <f t="shared" ref="N23:N26" si="17">(D23+F23+H23+J23-MIN(D23,F23,H23,J23))</f>
        <v>2945.33</v>
      </c>
      <c r="O23" s="1">
        <f>1000*N23/MAX(N$22:N$26)</f>
        <v>981.77666666666664</v>
      </c>
      <c r="P23" s="1">
        <f>L23</f>
        <v>916.13</v>
      </c>
      <c r="Q23" s="1">
        <f>O23+P23</f>
        <v>1897.9066666666668</v>
      </c>
      <c r="T23" s="1"/>
      <c r="U23" s="5"/>
      <c r="X23" s="1"/>
      <c r="Y23" s="1"/>
      <c r="Z23" s="1"/>
      <c r="AA23" s="1"/>
    </row>
    <row r="24" spans="1:27">
      <c r="B24" t="s">
        <v>43</v>
      </c>
      <c r="C24" s="1">
        <v>469.5</v>
      </c>
      <c r="D24" s="1">
        <f t="shared" si="14"/>
        <v>993.66</v>
      </c>
      <c r="E24" s="1">
        <v>458.75</v>
      </c>
      <c r="F24" s="1">
        <f t="shared" si="14"/>
        <v>945.88</v>
      </c>
      <c r="G24" s="1">
        <v>450.5</v>
      </c>
      <c r="H24" s="1">
        <f t="shared" ref="H24" si="18">ROUNDUP(1000*G24/MAX(G$22:G$25),2)</f>
        <v>945.93999999999994</v>
      </c>
      <c r="I24" s="1">
        <v>463.5</v>
      </c>
      <c r="J24" s="1">
        <f t="shared" ref="J24:L24" si="19">ROUNDUP(1000*I24/MAX(I$22:I$25),2)</f>
        <v>944.48</v>
      </c>
      <c r="K24" s="1">
        <v>496.5</v>
      </c>
      <c r="L24" s="1">
        <f t="shared" si="19"/>
        <v>925.45</v>
      </c>
      <c r="N24" s="1">
        <f t="shared" si="17"/>
        <v>2885.48</v>
      </c>
      <c r="O24" s="1">
        <f>1000*N24/MAX(N$22:N$26)</f>
        <v>961.82666666666671</v>
      </c>
      <c r="P24" s="1">
        <f>L24</f>
        <v>925.45</v>
      </c>
      <c r="Q24" s="1">
        <f>O24+P24</f>
        <v>1887.2766666666666</v>
      </c>
      <c r="T24" s="1"/>
      <c r="U24" s="5"/>
      <c r="X24" s="1"/>
      <c r="Y24" s="1"/>
      <c r="Z24" s="1"/>
      <c r="AA24" s="1"/>
    </row>
    <row r="25" spans="1:27">
      <c r="B25" t="s">
        <v>29</v>
      </c>
      <c r="C25" s="1">
        <v>450.75</v>
      </c>
      <c r="D25" s="1">
        <f t="shared" si="14"/>
        <v>953.97</v>
      </c>
      <c r="E25" s="1">
        <v>444.75</v>
      </c>
      <c r="F25" s="1">
        <f t="shared" si="14"/>
        <v>917.02</v>
      </c>
      <c r="G25" s="1">
        <v>452</v>
      </c>
      <c r="H25" s="1">
        <f t="shared" ref="H25:H26" si="20">ROUNDUP(1000*G25/MAX(G$22:G$25),2)</f>
        <v>949.09</v>
      </c>
      <c r="I25" s="1">
        <v>442.25</v>
      </c>
      <c r="J25" s="1">
        <f t="shared" ref="J25:L26" si="21">ROUNDUP(1000*I25/MAX(I$22:I$25),2)</f>
        <v>901.18</v>
      </c>
      <c r="K25" s="1">
        <v>481</v>
      </c>
      <c r="L25" s="1">
        <f t="shared" si="21"/>
        <v>896.56</v>
      </c>
      <c r="N25" s="1">
        <f t="shared" si="17"/>
        <v>2820.08</v>
      </c>
      <c r="O25" s="1">
        <f>1000*N25/MAX(N$22:N$26)</f>
        <v>940.02666666666664</v>
      </c>
      <c r="P25" s="1">
        <f>L25</f>
        <v>896.56</v>
      </c>
      <c r="Q25" s="1">
        <f>O25+P25</f>
        <v>1836.5866666666666</v>
      </c>
      <c r="X25" s="1"/>
      <c r="Y25" s="1"/>
      <c r="Z25" s="1"/>
      <c r="AA25" s="1"/>
    </row>
    <row r="26" spans="1:27">
      <c r="B26" t="s">
        <v>14</v>
      </c>
      <c r="C26" s="1">
        <v>427.25</v>
      </c>
      <c r="D26" s="1">
        <f t="shared" si="14"/>
        <v>904.24</v>
      </c>
      <c r="E26" s="1">
        <v>437.25</v>
      </c>
      <c r="F26" s="1">
        <f t="shared" si="14"/>
        <v>901.55</v>
      </c>
      <c r="G26" s="1">
        <v>448.75</v>
      </c>
      <c r="H26" s="1">
        <f t="shared" si="20"/>
        <v>942.26</v>
      </c>
      <c r="I26" s="1">
        <v>450.5</v>
      </c>
      <c r="J26" s="1">
        <f t="shared" si="21"/>
        <v>917.99</v>
      </c>
      <c r="K26" s="1">
        <v>451</v>
      </c>
      <c r="L26" s="1">
        <f t="shared" si="21"/>
        <v>840.64</v>
      </c>
      <c r="N26" s="1">
        <f t="shared" si="17"/>
        <v>2764.49</v>
      </c>
      <c r="O26" s="1">
        <f>1000*N26/MAX(N$22:N$26)</f>
        <v>921.49666666666667</v>
      </c>
      <c r="P26" s="1">
        <f>L26</f>
        <v>840.64</v>
      </c>
      <c r="Q26" s="1">
        <f>O26+P26</f>
        <v>1762.1366666666668</v>
      </c>
    </row>
    <row r="30" spans="1:27">
      <c r="P30" s="1"/>
      <c r="Q30" s="1"/>
    </row>
    <row r="31" spans="1:27">
      <c r="P31" s="1"/>
      <c r="Q31" s="1"/>
    </row>
    <row r="32" spans="1:27">
      <c r="P32" s="1"/>
      <c r="Q32" s="1"/>
    </row>
    <row r="33" spans="16:17">
      <c r="P33" s="1"/>
      <c r="Q33" s="1"/>
    </row>
    <row r="34" spans="16:17">
      <c r="P34" s="1"/>
      <c r="Q34" s="1"/>
    </row>
    <row r="35" spans="16:17">
      <c r="P35" s="1"/>
      <c r="Q35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F76CA-409E-AA4E-AC56-BE107723F098}">
  <dimension ref="A1:L18"/>
  <sheetViews>
    <sheetView workbookViewId="0">
      <selection activeCell="J8" sqref="J8"/>
    </sheetView>
  </sheetViews>
  <sheetFormatPr baseColWidth="10" defaultRowHeight="16"/>
  <cols>
    <col min="1" max="1" width="11.83203125" style="2" bestFit="1" customWidth="1"/>
    <col min="2" max="2" width="18.33203125" style="2" bestFit="1" customWidth="1"/>
    <col min="3" max="8" width="10.83203125" style="2"/>
    <col min="9" max="9" width="13.1640625" style="2" bestFit="1" customWidth="1"/>
    <col min="10" max="10" width="16.6640625" style="2" bestFit="1" customWidth="1"/>
    <col min="11" max="11" width="18.1640625" style="2" bestFit="1" customWidth="1"/>
    <col min="12" max="12" width="17.33203125" style="2" bestFit="1" customWidth="1"/>
    <col min="13" max="16384" width="10.83203125" style="2"/>
  </cols>
  <sheetData>
    <row r="1" spans="1:12">
      <c r="C1" s="2" t="s">
        <v>18</v>
      </c>
      <c r="D1" s="2" t="s">
        <v>19</v>
      </c>
      <c r="E1" s="2" t="s">
        <v>20</v>
      </c>
      <c r="G1" s="2" t="s">
        <v>2</v>
      </c>
      <c r="I1" s="2" t="s">
        <v>54</v>
      </c>
      <c r="J1" s="2" t="s">
        <v>53</v>
      </c>
      <c r="K1" s="2" t="s">
        <v>45</v>
      </c>
      <c r="L1" s="2" t="s">
        <v>52</v>
      </c>
    </row>
    <row r="2" spans="1:12">
      <c r="A2" s="2" t="s">
        <v>3</v>
      </c>
    </row>
    <row r="3" spans="1:12">
      <c r="B3" s="2" t="s">
        <v>73</v>
      </c>
      <c r="C3" s="4">
        <v>272.75</v>
      </c>
      <c r="D3" s="4">
        <v>269</v>
      </c>
      <c r="E3" s="4">
        <v>263.75</v>
      </c>
      <c r="F3" s="4"/>
      <c r="G3" s="4">
        <f>C3+D3+E3-MIN(C3,D3,E3)</f>
        <v>541.75</v>
      </c>
      <c r="I3" s="4">
        <f>ROUND(10*G3/MAX(G$3:G$5),2)</f>
        <v>10</v>
      </c>
      <c r="J3" s="16">
        <f>100*((C3+D3+E3)-MIN(C3,D3,E3))/800</f>
        <v>67.71875</v>
      </c>
      <c r="K3" s="6">
        <f>IFERROR(VLOOKUP(J3,'Bonus Points'!$A$3:$B$21,2),0)</f>
        <v>15</v>
      </c>
      <c r="L3" s="4">
        <f t="shared" ref="L3" si="0">I3+K3</f>
        <v>25</v>
      </c>
    </row>
    <row r="4" spans="1:12">
      <c r="B4" s="2" t="s">
        <v>65</v>
      </c>
      <c r="C4" s="4">
        <v>257.25</v>
      </c>
      <c r="D4" s="4">
        <v>271.5</v>
      </c>
      <c r="E4" s="4">
        <v>267.75</v>
      </c>
      <c r="F4" s="4"/>
      <c r="G4" s="4">
        <f t="shared" ref="G4:G5" si="1">C4+D4+E4-MIN(C4,D4,E4)</f>
        <v>539.25</v>
      </c>
      <c r="I4" s="4">
        <f t="shared" ref="I4:I5" si="2">ROUND(10*G4/MAX(G$3:G$5),2)</f>
        <v>9.9499999999999993</v>
      </c>
      <c r="J4" s="16">
        <f t="shared" ref="J4:J5" si="3">100*((C4+D4+E4)-MIN(C4,D4,E4))/800</f>
        <v>67.40625</v>
      </c>
      <c r="K4" s="6">
        <f>IFERROR(VLOOKUP(J4,'Bonus Points'!$A$3:$B$21,2),0)</f>
        <v>14</v>
      </c>
      <c r="L4" s="4">
        <f t="shared" ref="L4:L5" si="4">I4+K4</f>
        <v>23.95</v>
      </c>
    </row>
    <row r="5" spans="1:12">
      <c r="B5" s="2" t="s">
        <v>5</v>
      </c>
      <c r="C5" s="4">
        <v>246.5</v>
      </c>
      <c r="D5" s="4">
        <v>241.5</v>
      </c>
      <c r="E5" s="4">
        <v>265.5</v>
      </c>
      <c r="F5" s="4"/>
      <c r="G5" s="4">
        <f t="shared" si="1"/>
        <v>512</v>
      </c>
      <c r="I5" s="4">
        <f t="shared" si="2"/>
        <v>9.4499999999999993</v>
      </c>
      <c r="J5" s="16">
        <f t="shared" si="3"/>
        <v>64</v>
      </c>
      <c r="K5" s="6">
        <f>IFERROR(VLOOKUP(J5,'Bonus Points'!$A$3:$B$21,2),0)</f>
        <v>13</v>
      </c>
      <c r="L5" s="4">
        <f t="shared" si="4"/>
        <v>22.45</v>
      </c>
    </row>
    <row r="6" spans="1:12">
      <c r="G6" s="4"/>
    </row>
    <row r="7" spans="1:12">
      <c r="A7" s="2" t="s">
        <v>9</v>
      </c>
      <c r="G7" s="4"/>
    </row>
    <row r="8" spans="1:12">
      <c r="B8" s="2" t="s">
        <v>60</v>
      </c>
      <c r="C8" s="4">
        <v>441.75</v>
      </c>
      <c r="D8" s="4">
        <v>456</v>
      </c>
      <c r="E8" s="4">
        <v>456.75</v>
      </c>
      <c r="F8" s="4"/>
      <c r="G8" s="4">
        <f t="shared" ref="G8:G16" si="5">C8+D8+E8-MIN(C8,D8,E8)</f>
        <v>912.75</v>
      </c>
      <c r="I8" s="4">
        <f>ROUND(10*G8/MAX(G$8:G$17),2)</f>
        <v>10</v>
      </c>
      <c r="J8" s="16">
        <f t="shared" ref="J8:J16" si="6">100*((C8+D8+E8)-MIN(C8,D8,E8))/1200</f>
        <v>76.0625</v>
      </c>
      <c r="K8" s="6">
        <f>IFERROR(VLOOKUP(J8,'Bonus Points'!$A$3:$B$21,2),0)</f>
        <v>18</v>
      </c>
      <c r="L8" s="4">
        <f t="shared" ref="L8:L16" si="7">I8+K8</f>
        <v>28</v>
      </c>
    </row>
    <row r="9" spans="1:12">
      <c r="B9" s="2" t="s">
        <v>57</v>
      </c>
      <c r="C9" s="4">
        <v>444</v>
      </c>
      <c r="D9" s="4">
        <v>452</v>
      </c>
      <c r="E9" s="4">
        <v>455.25</v>
      </c>
      <c r="F9" s="4"/>
      <c r="G9" s="4">
        <f t="shared" si="5"/>
        <v>907.25</v>
      </c>
      <c r="I9" s="4">
        <f t="shared" ref="I9:I16" si="8">ROUND(10*G9/MAX(G$8:G$17),2)</f>
        <v>9.94</v>
      </c>
      <c r="J9" s="16">
        <f t="shared" si="6"/>
        <v>75.604166666666671</v>
      </c>
      <c r="K9" s="6">
        <f>IFERROR(VLOOKUP(J9,'Bonus Points'!$A$3:$B$21,2),0)</f>
        <v>18</v>
      </c>
      <c r="L9" s="4">
        <f t="shared" si="7"/>
        <v>27.939999999999998</v>
      </c>
    </row>
    <row r="10" spans="1:12">
      <c r="B10" s="2" t="s">
        <v>13</v>
      </c>
      <c r="C10" s="4">
        <v>434.25</v>
      </c>
      <c r="D10" s="4">
        <v>419</v>
      </c>
      <c r="E10" s="4">
        <v>439.75</v>
      </c>
      <c r="F10" s="4"/>
      <c r="G10" s="4">
        <f t="shared" si="5"/>
        <v>874</v>
      </c>
      <c r="I10" s="4">
        <f t="shared" si="8"/>
        <v>9.58</v>
      </c>
      <c r="J10" s="16">
        <f t="shared" si="6"/>
        <v>72.833333333333329</v>
      </c>
      <c r="K10" s="6">
        <f>IFERROR(VLOOKUP(J10,'Bonus Points'!$A$3:$B$21,2),0)</f>
        <v>17</v>
      </c>
      <c r="L10" s="4">
        <f t="shared" si="7"/>
        <v>26.58</v>
      </c>
    </row>
    <row r="11" spans="1:12">
      <c r="B11" s="2" t="s">
        <v>28</v>
      </c>
      <c r="C11" s="4">
        <v>388</v>
      </c>
      <c r="D11" s="4">
        <v>390.5</v>
      </c>
      <c r="E11" s="4">
        <v>378</v>
      </c>
      <c r="F11" s="4"/>
      <c r="G11" s="4">
        <f t="shared" si="5"/>
        <v>778.5</v>
      </c>
      <c r="I11" s="4">
        <f t="shared" si="8"/>
        <v>8.5299999999999994</v>
      </c>
      <c r="J11" s="16">
        <f t="shared" si="6"/>
        <v>64.875</v>
      </c>
      <c r="K11" s="6">
        <f>IFERROR(VLOOKUP(J11,'Bonus Points'!$A$3:$B$21,2),0)</f>
        <v>13</v>
      </c>
      <c r="L11" s="4">
        <f t="shared" si="7"/>
        <v>21.53</v>
      </c>
    </row>
    <row r="12" spans="1:12">
      <c r="B12" s="2" t="s">
        <v>35</v>
      </c>
      <c r="C12" s="4">
        <v>366.25</v>
      </c>
      <c r="D12" s="4">
        <v>382.5</v>
      </c>
      <c r="E12" s="4">
        <v>382</v>
      </c>
      <c r="F12" s="4"/>
      <c r="G12" s="4">
        <f t="shared" si="5"/>
        <v>764.5</v>
      </c>
      <c r="I12" s="4">
        <f t="shared" si="8"/>
        <v>8.3800000000000008</v>
      </c>
      <c r="J12" s="16">
        <f t="shared" si="6"/>
        <v>63.708333333333336</v>
      </c>
      <c r="K12" s="6">
        <f>IFERROR(VLOOKUP(J12,'Bonus Points'!$A$3:$B$21,2),0)</f>
        <v>13</v>
      </c>
      <c r="L12" s="4">
        <f t="shared" si="7"/>
        <v>21.380000000000003</v>
      </c>
    </row>
    <row r="13" spans="1:12">
      <c r="B13" s="2" t="s">
        <v>16</v>
      </c>
      <c r="C13" s="4">
        <v>2.25</v>
      </c>
      <c r="D13" s="4">
        <v>385.75</v>
      </c>
      <c r="E13" s="4">
        <v>362.75</v>
      </c>
      <c r="F13" s="4"/>
      <c r="G13" s="4">
        <f t="shared" si="5"/>
        <v>748.5</v>
      </c>
      <c r="I13" s="4">
        <f t="shared" si="8"/>
        <v>8.1999999999999993</v>
      </c>
      <c r="J13" s="16">
        <f t="shared" si="6"/>
        <v>62.375</v>
      </c>
      <c r="K13" s="6">
        <f>IFERROR(VLOOKUP(J13,'Bonus Points'!$A$3:$B$21,2),0)</f>
        <v>12</v>
      </c>
      <c r="L13" s="4">
        <f t="shared" si="7"/>
        <v>20.2</v>
      </c>
    </row>
    <row r="14" spans="1:12">
      <c r="B14" s="2" t="s">
        <v>4</v>
      </c>
      <c r="C14" s="4">
        <v>334.5</v>
      </c>
      <c r="D14" s="4">
        <v>370.75</v>
      </c>
      <c r="E14" s="4">
        <v>345.75</v>
      </c>
      <c r="F14" s="4"/>
      <c r="G14" s="4">
        <f t="shared" si="5"/>
        <v>716.5</v>
      </c>
      <c r="I14" s="4">
        <f t="shared" si="8"/>
        <v>7.85</v>
      </c>
      <c r="J14" s="16">
        <f t="shared" si="6"/>
        <v>59.708333333333336</v>
      </c>
      <c r="K14" s="6">
        <f>IFERROR(VLOOKUP(J14,'Bonus Points'!$A$3:$B$21,2),0)</f>
        <v>11</v>
      </c>
      <c r="L14" s="4">
        <f t="shared" si="7"/>
        <v>18.850000000000001</v>
      </c>
    </row>
    <row r="15" spans="1:12">
      <c r="B15" s="2" t="s">
        <v>25</v>
      </c>
      <c r="C15" s="4">
        <v>325.75</v>
      </c>
      <c r="D15" s="4">
        <v>342</v>
      </c>
      <c r="E15" s="4">
        <v>350.5</v>
      </c>
      <c r="F15" s="4"/>
      <c r="G15" s="4">
        <f t="shared" si="5"/>
        <v>692.5</v>
      </c>
      <c r="I15" s="4">
        <f t="shared" si="8"/>
        <v>7.59</v>
      </c>
      <c r="J15" s="16">
        <f t="shared" si="6"/>
        <v>57.708333333333336</v>
      </c>
      <c r="K15" s="6">
        <f>IFERROR(VLOOKUP(J15,'Bonus Points'!$A$3:$B$21,2),0)</f>
        <v>11</v>
      </c>
      <c r="L15" s="4">
        <f t="shared" si="7"/>
        <v>18.59</v>
      </c>
    </row>
    <row r="16" spans="1:12">
      <c r="B16" s="2" t="s">
        <v>17</v>
      </c>
      <c r="C16" s="4">
        <v>300.5</v>
      </c>
      <c r="D16" s="4">
        <v>335.25</v>
      </c>
      <c r="E16" s="4">
        <v>324.25</v>
      </c>
      <c r="F16" s="4"/>
      <c r="G16" s="4">
        <f t="shared" si="5"/>
        <v>659.5</v>
      </c>
      <c r="I16" s="4">
        <f t="shared" si="8"/>
        <v>7.23</v>
      </c>
      <c r="J16" s="16">
        <f t="shared" si="6"/>
        <v>54.958333333333336</v>
      </c>
      <c r="K16" s="6">
        <f>IFERROR(VLOOKUP(J16,'Bonus Points'!$A$3:$B$21,2),0)</f>
        <v>9</v>
      </c>
      <c r="L16" s="4">
        <f t="shared" si="7"/>
        <v>16.23</v>
      </c>
    </row>
    <row r="17" spans="3:12">
      <c r="C17" s="4"/>
      <c r="D17" s="4"/>
      <c r="E17" s="4"/>
      <c r="F17" s="4"/>
      <c r="G17" s="4"/>
      <c r="I17" s="4"/>
      <c r="J17" s="16"/>
      <c r="K17" s="6"/>
      <c r="L17" s="4"/>
    </row>
    <row r="18" spans="3:12">
      <c r="G18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4CDF0-0CB7-D445-9425-77D9608584D0}">
  <dimension ref="A1:N20"/>
  <sheetViews>
    <sheetView workbookViewId="0">
      <selection activeCell="I53" sqref="I53"/>
    </sheetView>
  </sheetViews>
  <sheetFormatPr baseColWidth="10" defaultRowHeight="16"/>
  <cols>
    <col min="1" max="1" width="11.83203125" style="2" bestFit="1" customWidth="1"/>
    <col min="2" max="2" width="18.33203125" style="2" bestFit="1" customWidth="1"/>
    <col min="3" max="10" width="10.83203125" style="2"/>
    <col min="11" max="11" width="13.1640625" style="2" bestFit="1" customWidth="1"/>
    <col min="12" max="12" width="16.6640625" style="2" bestFit="1" customWidth="1"/>
    <col min="13" max="13" width="18.1640625" style="2" bestFit="1" customWidth="1"/>
    <col min="14" max="14" width="17.33203125" style="2" bestFit="1" customWidth="1"/>
    <col min="15" max="16384" width="10.83203125" style="2"/>
  </cols>
  <sheetData>
    <row r="1" spans="1:14">
      <c r="C1" s="2" t="s">
        <v>18</v>
      </c>
      <c r="D1" s="2" t="s">
        <v>19</v>
      </c>
      <c r="E1" s="2" t="s">
        <v>20</v>
      </c>
      <c r="F1" s="2" t="s">
        <v>37</v>
      </c>
      <c r="I1" s="2" t="s">
        <v>2</v>
      </c>
      <c r="K1" s="2" t="s">
        <v>54</v>
      </c>
      <c r="L1" s="2" t="s">
        <v>53</v>
      </c>
      <c r="M1" s="2" t="s">
        <v>45</v>
      </c>
      <c r="N1" s="2" t="s">
        <v>52</v>
      </c>
    </row>
    <row r="2" spans="1:14">
      <c r="A2" s="2" t="s">
        <v>0</v>
      </c>
    </row>
    <row r="3" spans="1:14">
      <c r="B3" s="2" t="s">
        <v>23</v>
      </c>
      <c r="C3" s="4">
        <v>201.25</v>
      </c>
      <c r="D3" s="4">
        <v>209.5</v>
      </c>
      <c r="E3" s="4">
        <v>241</v>
      </c>
      <c r="F3" s="4">
        <v>230.25</v>
      </c>
      <c r="I3" s="4">
        <f>C3+D3+E3+F3-MIN(C3,D3,E3,F3)</f>
        <v>680.75</v>
      </c>
      <c r="K3" s="4">
        <f>ROUND(10*I3/MAX(I$3:I$4),2)</f>
        <v>10</v>
      </c>
      <c r="L3" s="16">
        <f>100*((C3+D3+E3+E4)-MIN(C3,D3,E3,F3))/990</f>
        <v>68.030303030303031</v>
      </c>
      <c r="M3" s="6">
        <f>IFERROR(VLOOKUP(L3,'Bonus Points'!$A$3:$B$21,2),0)</f>
        <v>15</v>
      </c>
      <c r="N3" s="4">
        <f t="shared" ref="N3:N4" si="0">K3+M3</f>
        <v>25</v>
      </c>
    </row>
    <row r="4" spans="1:14">
      <c r="B4" s="2" t="s">
        <v>67</v>
      </c>
      <c r="C4" s="4">
        <v>226.5</v>
      </c>
      <c r="D4" s="4">
        <v>224</v>
      </c>
      <c r="E4" s="4">
        <v>223</v>
      </c>
      <c r="F4" s="4">
        <v>0</v>
      </c>
      <c r="I4" s="4">
        <f>C4+D4+E4+F4-MIN(C4,D4,E4,F4)</f>
        <v>673.5</v>
      </c>
      <c r="K4" s="4">
        <f>ROUND(10*I4/MAX(I$3:I$4),2)</f>
        <v>9.89</v>
      </c>
      <c r="L4" s="16">
        <f>100*((C4+D4+E4+E5)-MIN(C4,D4,E4,F4))/990</f>
        <v>68.030303030303031</v>
      </c>
      <c r="M4" s="6">
        <f>IFERROR(VLOOKUP(L4,'Bonus Points'!$A$3:$B$21,2),0)</f>
        <v>15</v>
      </c>
      <c r="N4" s="4">
        <f t="shared" si="0"/>
        <v>24.89</v>
      </c>
    </row>
    <row r="6" spans="1:14">
      <c r="A6" s="2" t="s">
        <v>3</v>
      </c>
    </row>
    <row r="7" spans="1:14">
      <c r="B7" s="2" t="s">
        <v>5</v>
      </c>
      <c r="C7" s="4">
        <v>254</v>
      </c>
      <c r="D7" s="4">
        <v>271.25</v>
      </c>
      <c r="E7" s="4">
        <v>263.5</v>
      </c>
      <c r="F7" s="4">
        <v>272.75</v>
      </c>
      <c r="G7" s="4"/>
      <c r="H7" s="4"/>
      <c r="I7" s="4">
        <f>C7+D7+E7+F7-MIN(C7,D7,E7,F7)</f>
        <v>807.5</v>
      </c>
      <c r="K7" s="4">
        <f>ROUND(10*I7/MAX(I$7:I$7),2)</f>
        <v>10</v>
      </c>
      <c r="L7" s="16">
        <f>100*((C7+D7+E7+F7)-MIN(C7,D7,E7,F7))/1200</f>
        <v>67.291666666666671</v>
      </c>
      <c r="M7" s="6">
        <f>IFERROR(VLOOKUP(L7,'Bonus Points'!$A$3:$B$21,2),0)</f>
        <v>14</v>
      </c>
      <c r="N7" s="4">
        <f t="shared" ref="N7" si="1">K7+M7</f>
        <v>24</v>
      </c>
    </row>
    <row r="8" spans="1:14">
      <c r="I8" s="4"/>
    </row>
    <row r="9" spans="1:14">
      <c r="A9" s="2" t="s">
        <v>9</v>
      </c>
      <c r="I9" s="4"/>
    </row>
    <row r="10" spans="1:14">
      <c r="B10" s="2" t="s">
        <v>29</v>
      </c>
      <c r="C10" s="4">
        <v>456.75</v>
      </c>
      <c r="D10" s="4">
        <v>476.5</v>
      </c>
      <c r="E10" s="4">
        <v>489</v>
      </c>
      <c r="F10" s="4">
        <v>506.75</v>
      </c>
      <c r="G10" s="4"/>
      <c r="H10" s="4"/>
      <c r="I10" s="4">
        <f t="shared" ref="I10:I16" si="2">C10+D10+E10+F10-MIN(C10,D10,E10,F10)</f>
        <v>1472.25</v>
      </c>
      <c r="K10" s="4">
        <f t="shared" ref="K10:K16" si="3">ROUND(10*I10/MAX(I$10:I$19),2)</f>
        <v>10</v>
      </c>
      <c r="L10" s="16">
        <f t="shared" ref="L10:L16" si="4">100*((C10+D10+E10+F10)-MIN(C10,D10,E10,F10))/1800</f>
        <v>81.791666666666671</v>
      </c>
      <c r="M10" s="6">
        <f>IFERROR(VLOOKUP(L10,'Bonus Points'!$A$3:$B$21,2),0)</f>
        <v>20</v>
      </c>
      <c r="N10" s="4">
        <f t="shared" ref="N10:N16" si="5">K10+M10</f>
        <v>30</v>
      </c>
    </row>
    <row r="11" spans="1:14">
      <c r="B11" s="2" t="s">
        <v>57</v>
      </c>
      <c r="C11" s="4">
        <v>470.25</v>
      </c>
      <c r="D11" s="4">
        <v>479</v>
      </c>
      <c r="E11" s="4">
        <v>478.25</v>
      </c>
      <c r="F11" s="4">
        <v>482.5</v>
      </c>
      <c r="G11" s="4"/>
      <c r="H11" s="4"/>
      <c r="I11" s="4">
        <f t="shared" si="2"/>
        <v>1439.75</v>
      </c>
      <c r="K11" s="4">
        <f t="shared" si="3"/>
        <v>9.7799999999999994</v>
      </c>
      <c r="L11" s="16">
        <f t="shared" si="4"/>
        <v>79.986111111111114</v>
      </c>
      <c r="M11" s="6">
        <f>IFERROR(VLOOKUP(L11,'Bonus Points'!$A$3:$B$21,2),0)</f>
        <v>19</v>
      </c>
      <c r="N11" s="4">
        <f t="shared" si="5"/>
        <v>28.78</v>
      </c>
    </row>
    <row r="12" spans="1:14">
      <c r="B12" s="2" t="s">
        <v>28</v>
      </c>
      <c r="C12" s="4">
        <v>382.5</v>
      </c>
      <c r="D12" s="4">
        <v>407.5</v>
      </c>
      <c r="E12" s="4">
        <v>459.5</v>
      </c>
      <c r="F12" s="4">
        <v>457</v>
      </c>
      <c r="G12" s="4"/>
      <c r="H12" s="4"/>
      <c r="I12" s="4">
        <f t="shared" si="2"/>
        <v>1324</v>
      </c>
      <c r="K12" s="4">
        <f t="shared" si="3"/>
        <v>8.99</v>
      </c>
      <c r="L12" s="16">
        <f t="shared" si="4"/>
        <v>73.555555555555557</v>
      </c>
      <c r="M12" s="6">
        <f>IFERROR(VLOOKUP(L12,'Bonus Points'!$A$3:$B$21,2),0)</f>
        <v>17</v>
      </c>
      <c r="N12" s="4">
        <f t="shared" si="5"/>
        <v>25.990000000000002</v>
      </c>
    </row>
    <row r="13" spans="1:14">
      <c r="B13" s="2" t="s">
        <v>15</v>
      </c>
      <c r="C13" s="4">
        <v>342.75</v>
      </c>
      <c r="D13" s="4">
        <v>380.5</v>
      </c>
      <c r="E13" s="4">
        <v>392.25</v>
      </c>
      <c r="F13" s="4">
        <v>402.5</v>
      </c>
      <c r="G13" s="4"/>
      <c r="H13" s="4"/>
      <c r="I13" s="4">
        <f t="shared" si="2"/>
        <v>1175.25</v>
      </c>
      <c r="K13" s="4">
        <f t="shared" si="3"/>
        <v>7.98</v>
      </c>
      <c r="L13" s="16">
        <f t="shared" si="4"/>
        <v>65.291666666666671</v>
      </c>
      <c r="M13" s="6">
        <f>IFERROR(VLOOKUP(L13,'Bonus Points'!$A$3:$B$21,2),0)</f>
        <v>14</v>
      </c>
      <c r="N13" s="4">
        <f t="shared" si="5"/>
        <v>21.98</v>
      </c>
    </row>
    <row r="14" spans="1:14">
      <c r="B14" s="2" t="s">
        <v>31</v>
      </c>
      <c r="C14" s="4">
        <v>93</v>
      </c>
      <c r="D14" s="4">
        <v>365.75</v>
      </c>
      <c r="E14" s="4">
        <v>390.5</v>
      </c>
      <c r="F14" s="4">
        <v>368.75</v>
      </c>
      <c r="G14" s="4"/>
      <c r="H14" s="4"/>
      <c r="I14" s="4">
        <f t="shared" si="2"/>
        <v>1125</v>
      </c>
      <c r="K14" s="4">
        <f t="shared" si="3"/>
        <v>7.64</v>
      </c>
      <c r="L14" s="16">
        <f t="shared" si="4"/>
        <v>62.5</v>
      </c>
      <c r="M14" s="6">
        <f>IFERROR(VLOOKUP(L14,'Bonus Points'!$A$3:$B$21,2),0)</f>
        <v>12</v>
      </c>
      <c r="N14" s="4">
        <f t="shared" si="5"/>
        <v>19.64</v>
      </c>
    </row>
    <row r="15" spans="1:14">
      <c r="B15" s="2" t="s">
        <v>30</v>
      </c>
      <c r="C15" s="4">
        <v>334.5</v>
      </c>
      <c r="D15" s="4">
        <v>324.25</v>
      </c>
      <c r="E15" s="4">
        <v>340</v>
      </c>
      <c r="F15" s="4">
        <v>376.25</v>
      </c>
      <c r="G15" s="4"/>
      <c r="H15" s="4"/>
      <c r="I15" s="4">
        <f t="shared" si="2"/>
        <v>1050.75</v>
      </c>
      <c r="K15" s="4">
        <f t="shared" si="3"/>
        <v>7.14</v>
      </c>
      <c r="L15" s="16">
        <f t="shared" si="4"/>
        <v>58.375</v>
      </c>
      <c r="M15" s="6">
        <f>IFERROR(VLOOKUP(L15,'Bonus Points'!$A$3:$B$21,2),0)</f>
        <v>11</v>
      </c>
      <c r="N15" s="4">
        <f t="shared" si="5"/>
        <v>18.14</v>
      </c>
    </row>
    <row r="16" spans="1:14">
      <c r="B16" s="2" t="s">
        <v>33</v>
      </c>
      <c r="C16" s="4">
        <v>325</v>
      </c>
      <c r="D16" s="4">
        <v>320.5</v>
      </c>
      <c r="E16" s="4">
        <v>347</v>
      </c>
      <c r="F16" s="4">
        <v>296.25</v>
      </c>
      <c r="G16" s="4"/>
      <c r="H16" s="4"/>
      <c r="I16" s="4">
        <f t="shared" si="2"/>
        <v>992.5</v>
      </c>
      <c r="K16" s="4">
        <f t="shared" si="3"/>
        <v>6.74</v>
      </c>
      <c r="L16" s="16">
        <f t="shared" si="4"/>
        <v>55.138888888888886</v>
      </c>
      <c r="M16" s="6">
        <f>IFERROR(VLOOKUP(L16,'Bonus Points'!$A$3:$B$21,2),0)</f>
        <v>10</v>
      </c>
      <c r="N16" s="4">
        <f t="shared" si="5"/>
        <v>16.740000000000002</v>
      </c>
    </row>
    <row r="17" spans="3:14">
      <c r="C17" s="4"/>
      <c r="D17" s="4"/>
      <c r="E17" s="4"/>
      <c r="F17" s="4"/>
      <c r="G17" s="4"/>
      <c r="H17" s="4"/>
      <c r="I17" s="4"/>
      <c r="K17" s="4"/>
      <c r="L17" s="16"/>
      <c r="M17" s="6"/>
      <c r="N17" s="4"/>
    </row>
    <row r="18" spans="3:14">
      <c r="C18" s="4"/>
      <c r="D18" s="4"/>
      <c r="E18" s="4"/>
      <c r="F18" s="4"/>
      <c r="G18" s="4"/>
      <c r="H18" s="4"/>
      <c r="I18" s="4"/>
      <c r="K18" s="4"/>
      <c r="L18" s="16"/>
      <c r="M18" s="6"/>
      <c r="N18" s="4"/>
    </row>
    <row r="19" spans="3:14">
      <c r="C19" s="4"/>
      <c r="D19" s="4"/>
      <c r="E19" s="4"/>
      <c r="F19" s="4"/>
      <c r="G19" s="4"/>
      <c r="H19" s="4"/>
      <c r="I19" s="4"/>
      <c r="K19" s="4"/>
      <c r="L19" s="16"/>
      <c r="M19" s="6"/>
      <c r="N19" s="4"/>
    </row>
    <row r="20" spans="3:14">
      <c r="I20" s="4"/>
    </row>
  </sheetData>
  <sortState xmlns:xlrd2="http://schemas.microsoft.com/office/spreadsheetml/2017/richdata2" ref="B10:N16">
    <sortCondition descending="1" ref="I10:I1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9608B-7ACB-B241-B8D1-D1F30E5784FE}">
  <dimension ref="A1:L20"/>
  <sheetViews>
    <sheetView workbookViewId="0">
      <selection activeCell="E41" sqref="E41"/>
    </sheetView>
  </sheetViews>
  <sheetFormatPr baseColWidth="10" defaultRowHeight="16"/>
  <cols>
    <col min="1" max="1" width="11.83203125" style="2" bestFit="1" customWidth="1"/>
    <col min="2" max="2" width="19.33203125" style="2" bestFit="1" customWidth="1"/>
    <col min="3" max="8" width="10.83203125" style="2"/>
    <col min="9" max="9" width="13.1640625" style="2" bestFit="1" customWidth="1"/>
    <col min="10" max="10" width="16.6640625" style="2" bestFit="1" customWidth="1"/>
    <col min="11" max="11" width="18.1640625" style="2" bestFit="1" customWidth="1"/>
    <col min="12" max="12" width="17.33203125" style="2" bestFit="1" customWidth="1"/>
    <col min="13" max="16384" width="10.83203125" style="2"/>
  </cols>
  <sheetData>
    <row r="1" spans="1:12">
      <c r="C1" s="2" t="s">
        <v>18</v>
      </c>
      <c r="D1" s="2" t="s">
        <v>19</v>
      </c>
      <c r="E1" s="2" t="s">
        <v>20</v>
      </c>
      <c r="G1" s="2" t="s">
        <v>2</v>
      </c>
      <c r="I1" s="2" t="s">
        <v>54</v>
      </c>
      <c r="J1" s="2" t="s">
        <v>53</v>
      </c>
      <c r="K1" s="2" t="s">
        <v>45</v>
      </c>
      <c r="L1" s="2" t="s">
        <v>52</v>
      </c>
    </row>
    <row r="2" spans="1:12">
      <c r="C2" s="4"/>
      <c r="D2" s="4"/>
      <c r="E2" s="4"/>
      <c r="F2" s="4"/>
      <c r="G2" s="4"/>
      <c r="I2" s="4"/>
      <c r="J2" s="16"/>
      <c r="K2" s="6"/>
      <c r="L2" s="4"/>
    </row>
    <row r="3" spans="1:12">
      <c r="A3" s="2" t="s">
        <v>3</v>
      </c>
      <c r="C3" s="4"/>
      <c r="D3" s="4"/>
      <c r="E3" s="4"/>
      <c r="G3" s="4"/>
      <c r="I3" s="4"/>
      <c r="J3" s="16"/>
      <c r="K3" s="6"/>
      <c r="L3" s="4"/>
    </row>
    <row r="4" spans="1:12">
      <c r="B4" s="2" t="s">
        <v>65</v>
      </c>
      <c r="C4" s="4">
        <v>243.5</v>
      </c>
      <c r="D4" s="4">
        <v>278.25</v>
      </c>
      <c r="E4" s="4">
        <v>287.5</v>
      </c>
      <c r="G4" s="4">
        <f t="shared" ref="G4:G5" si="0">C4+D4+E4-MIN(C4,D4,E4)</f>
        <v>565.75</v>
      </c>
      <c r="I4" s="4">
        <f>ROUND(10*G4/MAX(G$4:G$5),2)</f>
        <v>10</v>
      </c>
      <c r="J4" s="16">
        <f t="shared" ref="J4:J5" si="1">100*((C4+D4+E4)-MIN(C4,D4,E4))/800</f>
        <v>70.71875</v>
      </c>
      <c r="K4" s="6">
        <f>IFERROR(VLOOKUP(J4,'Bonus Points'!$A$3:$B$21,2),0)</f>
        <v>16</v>
      </c>
      <c r="L4" s="4">
        <f t="shared" ref="L4:L5" si="2">I4+K4</f>
        <v>26</v>
      </c>
    </row>
    <row r="5" spans="1:12">
      <c r="B5" s="2" t="s">
        <v>5</v>
      </c>
      <c r="C5" s="4">
        <v>263</v>
      </c>
      <c r="D5" s="4">
        <v>226.5</v>
      </c>
      <c r="E5" s="4">
        <v>218.75</v>
      </c>
      <c r="G5" s="4">
        <f t="shared" si="0"/>
        <v>489.5</v>
      </c>
      <c r="I5" s="4">
        <f>ROUND(10*G5/MAX(G$4:G$5),2)</f>
        <v>8.65</v>
      </c>
      <c r="J5" s="16">
        <f t="shared" si="1"/>
        <v>61.1875</v>
      </c>
      <c r="K5" s="6">
        <f>IFERROR(VLOOKUP(J5,'Bonus Points'!$A$3:$B$21,2),0)</f>
        <v>12</v>
      </c>
      <c r="L5" s="4">
        <f t="shared" si="2"/>
        <v>20.65</v>
      </c>
    </row>
    <row r="6" spans="1:12">
      <c r="C6" s="4"/>
      <c r="D6" s="4"/>
      <c r="E6" s="4"/>
      <c r="G6" s="4"/>
    </row>
    <row r="7" spans="1:12">
      <c r="A7" s="2" t="s">
        <v>6</v>
      </c>
      <c r="C7" s="4"/>
      <c r="D7" s="4"/>
      <c r="E7" s="4"/>
      <c r="G7" s="4"/>
    </row>
    <row r="8" spans="1:12">
      <c r="B8" s="2" t="s">
        <v>7</v>
      </c>
      <c r="C8" s="4">
        <v>313</v>
      </c>
      <c r="D8" s="4">
        <v>325</v>
      </c>
      <c r="E8" s="4">
        <v>329.5</v>
      </c>
      <c r="F8" s="4"/>
      <c r="G8" s="4">
        <f>C8+D8+E8-MIN(C8,D8,E8)</f>
        <v>654.5</v>
      </c>
      <c r="I8" s="4">
        <f>ROUND(10*G8/MAX(G$8:G$8),2)</f>
        <v>10</v>
      </c>
      <c r="J8" s="16">
        <f>100*((C8+D8+E8)-MIN(C8,D8,E8))/1060</f>
        <v>61.745283018867923</v>
      </c>
      <c r="K8" s="6">
        <f>IFERROR(VLOOKUP(J8,'Bonus Points'!$A$3:$B$21,2),0)</f>
        <v>12</v>
      </c>
      <c r="L8" s="4">
        <f t="shared" ref="L8" si="3">I8+K8</f>
        <v>22</v>
      </c>
    </row>
    <row r="9" spans="1:12">
      <c r="C9" s="4"/>
      <c r="D9" s="4"/>
      <c r="E9" s="4"/>
      <c r="G9" s="4"/>
    </row>
    <row r="10" spans="1:12">
      <c r="A10" s="2" t="s">
        <v>9</v>
      </c>
      <c r="C10" s="4"/>
      <c r="D10" s="4"/>
      <c r="E10" s="4"/>
      <c r="G10" s="4"/>
    </row>
    <row r="11" spans="1:12">
      <c r="B11" s="2" t="s">
        <v>10</v>
      </c>
      <c r="C11" s="4">
        <v>459.5</v>
      </c>
      <c r="D11" s="4">
        <v>458.75</v>
      </c>
      <c r="E11" s="4">
        <v>471.5</v>
      </c>
      <c r="F11" s="4"/>
      <c r="G11" s="4">
        <f t="shared" ref="G11:G20" si="4">C11+D11+E11-MIN(C11,D11,E11)</f>
        <v>931</v>
      </c>
      <c r="I11" s="4">
        <f t="shared" ref="I11:I20" si="5">ROUND(10*G11/MAX(G$11:G$19),2)</f>
        <v>10</v>
      </c>
      <c r="J11" s="16">
        <f t="shared" ref="J11:J20" si="6">100*((C11+D11+E11)-MIN(C11,D11,E11))/1200</f>
        <v>77.583333333333329</v>
      </c>
      <c r="K11" s="6">
        <f>IFERROR(VLOOKUP(J11,'Bonus Points'!$A$3:$B$21,2),0)</f>
        <v>19</v>
      </c>
      <c r="L11" s="4">
        <f t="shared" ref="L11:L20" si="7">I11+K11</f>
        <v>29</v>
      </c>
    </row>
    <row r="12" spans="1:12">
      <c r="B12" s="2" t="s">
        <v>60</v>
      </c>
      <c r="C12" s="4">
        <v>458.5</v>
      </c>
      <c r="D12" s="4">
        <v>464.5</v>
      </c>
      <c r="E12" s="4">
        <v>464.25</v>
      </c>
      <c r="F12" s="4"/>
      <c r="G12" s="4">
        <f t="shared" si="4"/>
        <v>928.75</v>
      </c>
      <c r="I12" s="4">
        <f t="shared" si="5"/>
        <v>9.98</v>
      </c>
      <c r="J12" s="16">
        <f t="shared" si="6"/>
        <v>77.395833333333329</v>
      </c>
      <c r="K12" s="6">
        <f>IFERROR(VLOOKUP(J12,'Bonus Points'!$A$3:$B$21,2),0)</f>
        <v>18</v>
      </c>
      <c r="L12" s="4">
        <f t="shared" si="7"/>
        <v>27.98</v>
      </c>
    </row>
    <row r="13" spans="1:12">
      <c r="B13" s="2" t="s">
        <v>13</v>
      </c>
      <c r="C13" s="4">
        <v>434</v>
      </c>
      <c r="D13" s="4">
        <v>440.75</v>
      </c>
      <c r="E13" s="4">
        <v>434.25</v>
      </c>
      <c r="F13" s="4"/>
      <c r="G13" s="4">
        <f t="shared" si="4"/>
        <v>875</v>
      </c>
      <c r="I13" s="4">
        <f t="shared" si="5"/>
        <v>9.4</v>
      </c>
      <c r="J13" s="16">
        <f t="shared" si="6"/>
        <v>72.916666666666671</v>
      </c>
      <c r="K13" s="6">
        <f>IFERROR(VLOOKUP(J13,'Bonus Points'!$A$3:$B$21,2),0)</f>
        <v>17</v>
      </c>
      <c r="L13" s="4">
        <f t="shared" si="7"/>
        <v>26.4</v>
      </c>
    </row>
    <row r="14" spans="1:12">
      <c r="B14" s="2" t="s">
        <v>12</v>
      </c>
      <c r="C14" s="4">
        <v>423.5</v>
      </c>
      <c r="D14" s="4">
        <v>434</v>
      </c>
      <c r="E14" s="4">
        <v>431.25</v>
      </c>
      <c r="F14" s="4"/>
      <c r="G14" s="4">
        <f t="shared" si="4"/>
        <v>865.25</v>
      </c>
      <c r="I14" s="4">
        <f t="shared" si="5"/>
        <v>9.2899999999999991</v>
      </c>
      <c r="J14" s="16">
        <f t="shared" si="6"/>
        <v>72.104166666666671</v>
      </c>
      <c r="K14" s="6">
        <f>IFERROR(VLOOKUP(J14,'Bonus Points'!$A$3:$B$21,2),0)</f>
        <v>16</v>
      </c>
      <c r="L14" s="4">
        <f t="shared" si="7"/>
        <v>25.29</v>
      </c>
    </row>
    <row r="15" spans="1:12">
      <c r="B15" s="2" t="s">
        <v>14</v>
      </c>
      <c r="C15" s="4">
        <v>419.25</v>
      </c>
      <c r="D15" s="4">
        <v>419.5</v>
      </c>
      <c r="E15" s="4">
        <v>421</v>
      </c>
      <c r="F15" s="4"/>
      <c r="G15" s="4">
        <f t="shared" si="4"/>
        <v>840.5</v>
      </c>
      <c r="I15" s="4">
        <f t="shared" si="5"/>
        <v>9.0299999999999994</v>
      </c>
      <c r="J15" s="16">
        <f t="shared" si="6"/>
        <v>70.041666666666671</v>
      </c>
      <c r="K15" s="6">
        <f>IFERROR(VLOOKUP(J15,'Bonus Points'!$A$3:$B$21,2),0)</f>
        <v>16</v>
      </c>
      <c r="L15" s="4">
        <f t="shared" si="7"/>
        <v>25.03</v>
      </c>
    </row>
    <row r="16" spans="1:12">
      <c r="B16" s="2" t="s">
        <v>28</v>
      </c>
      <c r="C16" s="4">
        <v>385.5</v>
      </c>
      <c r="D16" s="4">
        <v>395.5</v>
      </c>
      <c r="E16" s="4">
        <v>392.75</v>
      </c>
      <c r="F16" s="4"/>
      <c r="G16" s="4">
        <f t="shared" si="4"/>
        <v>788.25</v>
      </c>
      <c r="I16" s="4">
        <f t="shared" si="5"/>
        <v>8.4700000000000006</v>
      </c>
      <c r="J16" s="16">
        <f t="shared" si="6"/>
        <v>65.6875</v>
      </c>
      <c r="K16" s="6">
        <f>IFERROR(VLOOKUP(J16,'Bonus Points'!$A$3:$B$21,2),0)</f>
        <v>14</v>
      </c>
      <c r="L16" s="4">
        <f t="shared" si="7"/>
        <v>22.47</v>
      </c>
    </row>
    <row r="17" spans="2:12">
      <c r="B17" s="2" t="s">
        <v>16</v>
      </c>
      <c r="C17" s="4">
        <v>373.75</v>
      </c>
      <c r="D17" s="4">
        <v>373.75</v>
      </c>
      <c r="E17" s="4">
        <v>360.5</v>
      </c>
      <c r="F17" s="4"/>
      <c r="G17" s="4">
        <f t="shared" si="4"/>
        <v>747.5</v>
      </c>
      <c r="I17" s="4">
        <f t="shared" si="5"/>
        <v>8.0299999999999994</v>
      </c>
      <c r="J17" s="16">
        <f t="shared" si="6"/>
        <v>62.291666666666664</v>
      </c>
      <c r="K17" s="6">
        <f>IFERROR(VLOOKUP(J17,'Bonus Points'!$A$3:$B$21,2),0)</f>
        <v>12</v>
      </c>
      <c r="L17" s="4">
        <f t="shared" si="7"/>
        <v>20.03</v>
      </c>
    </row>
    <row r="18" spans="2:12">
      <c r="B18" s="2" t="s">
        <v>25</v>
      </c>
      <c r="C18" s="4">
        <v>368.25</v>
      </c>
      <c r="D18" s="4">
        <v>352.25</v>
      </c>
      <c r="E18" s="4">
        <v>372.5</v>
      </c>
      <c r="F18" s="4"/>
      <c r="G18" s="4">
        <f t="shared" si="4"/>
        <v>740.75</v>
      </c>
      <c r="I18" s="4">
        <f t="shared" si="5"/>
        <v>7.96</v>
      </c>
      <c r="J18" s="16">
        <f t="shared" si="6"/>
        <v>61.729166666666664</v>
      </c>
      <c r="K18" s="6">
        <f>IFERROR(VLOOKUP(J18,'Bonus Points'!$A$3:$B$21,2),0)</f>
        <v>12</v>
      </c>
      <c r="L18" s="4">
        <f t="shared" si="7"/>
        <v>19.96</v>
      </c>
    </row>
    <row r="19" spans="2:12">
      <c r="B19" s="2" t="s">
        <v>69</v>
      </c>
      <c r="C19" s="4">
        <v>360.75</v>
      </c>
      <c r="D19" s="4">
        <v>253.25</v>
      </c>
      <c r="E19" s="4">
        <v>379.25</v>
      </c>
      <c r="F19" s="4"/>
      <c r="G19" s="4">
        <f t="shared" si="4"/>
        <v>740</v>
      </c>
      <c r="I19" s="4">
        <f t="shared" si="5"/>
        <v>7.95</v>
      </c>
      <c r="J19" s="16">
        <f t="shared" si="6"/>
        <v>61.666666666666664</v>
      </c>
      <c r="K19" s="6">
        <f>IFERROR(VLOOKUP(J19,'Bonus Points'!$A$3:$B$21,2),0)</f>
        <v>12</v>
      </c>
      <c r="L19" s="4">
        <f t="shared" si="7"/>
        <v>19.95</v>
      </c>
    </row>
    <row r="20" spans="2:12">
      <c r="B20" s="2" t="s">
        <v>17</v>
      </c>
      <c r="C20" s="4">
        <v>348.25</v>
      </c>
      <c r="D20" s="4">
        <v>338</v>
      </c>
      <c r="E20" s="4">
        <v>331.5</v>
      </c>
      <c r="G20" s="4">
        <f t="shared" si="4"/>
        <v>686.25</v>
      </c>
      <c r="I20" s="4">
        <f t="shared" si="5"/>
        <v>7.37</v>
      </c>
      <c r="J20" s="16">
        <f t="shared" si="6"/>
        <v>57.1875</v>
      </c>
      <c r="K20" s="6">
        <f>IFERROR(VLOOKUP(J20,'Bonus Points'!$A$3:$B$21,2),0)</f>
        <v>10</v>
      </c>
      <c r="L20" s="4">
        <f t="shared" si="7"/>
        <v>17.37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575A9-8E92-7A44-948C-C3F71925677B}">
  <dimension ref="A1:L20"/>
  <sheetViews>
    <sheetView workbookViewId="0">
      <selection activeCell="C27" sqref="C27"/>
    </sheetView>
  </sheetViews>
  <sheetFormatPr baseColWidth="10" defaultRowHeight="16"/>
  <cols>
    <col min="1" max="1" width="11.83203125" style="2" bestFit="1" customWidth="1"/>
    <col min="2" max="2" width="19.33203125" style="2" bestFit="1" customWidth="1"/>
    <col min="3" max="8" width="10.83203125" style="2"/>
    <col min="9" max="9" width="13.1640625" style="2" bestFit="1" customWidth="1"/>
    <col min="10" max="10" width="16.6640625" style="2" bestFit="1" customWidth="1"/>
    <col min="11" max="11" width="18.1640625" style="2" bestFit="1" customWidth="1"/>
    <col min="12" max="12" width="17.33203125" style="2" bestFit="1" customWidth="1"/>
    <col min="13" max="16384" width="10.83203125" style="2"/>
  </cols>
  <sheetData>
    <row r="1" spans="1:12">
      <c r="C1" s="2" t="s">
        <v>18</v>
      </c>
      <c r="D1" s="2" t="s">
        <v>19</v>
      </c>
      <c r="E1" s="2" t="s">
        <v>20</v>
      </c>
      <c r="G1" s="2" t="s">
        <v>2</v>
      </c>
      <c r="I1" s="2" t="s">
        <v>54</v>
      </c>
      <c r="J1" s="2" t="s">
        <v>53</v>
      </c>
      <c r="K1" s="2" t="s">
        <v>45</v>
      </c>
      <c r="L1" s="2" t="s">
        <v>52</v>
      </c>
    </row>
    <row r="2" spans="1:12">
      <c r="C2" s="4"/>
      <c r="D2" s="4"/>
      <c r="E2" s="4"/>
      <c r="F2" s="4"/>
      <c r="G2" s="4"/>
      <c r="I2" s="4"/>
      <c r="J2" s="16"/>
      <c r="K2" s="6"/>
      <c r="L2" s="4"/>
    </row>
    <row r="3" spans="1:12">
      <c r="A3" s="2" t="s">
        <v>3</v>
      </c>
      <c r="C3" s="4"/>
      <c r="D3" s="4"/>
      <c r="E3" s="4"/>
      <c r="G3" s="4"/>
      <c r="I3" s="4"/>
      <c r="J3" s="16"/>
      <c r="K3" s="6"/>
      <c r="L3" s="4"/>
    </row>
    <row r="4" spans="1:12">
      <c r="B4" s="2" t="s">
        <v>65</v>
      </c>
      <c r="C4" s="4">
        <v>262.25</v>
      </c>
      <c r="D4" s="4">
        <v>281</v>
      </c>
      <c r="E4" s="4">
        <v>297</v>
      </c>
      <c r="G4" s="4">
        <f t="shared" ref="G4:G5" si="0">C4+D4+E4-MIN(C4,D4,E4)</f>
        <v>578</v>
      </c>
      <c r="I4" s="4">
        <f>ROUND(10*G4/MAX(G$4:G$5),2)</f>
        <v>10</v>
      </c>
      <c r="J4" s="16">
        <f t="shared" ref="J4:J5" si="1">100*((C4+D4+E4)-MIN(C4,D4,E4))/800</f>
        <v>72.25</v>
      </c>
      <c r="K4" s="6">
        <f>IFERROR(VLOOKUP(J4,'Bonus Points'!$A$3:$B$21,2),0)</f>
        <v>16</v>
      </c>
      <c r="L4" s="4">
        <f t="shared" ref="L4:L5" si="2">I4+K4</f>
        <v>26</v>
      </c>
    </row>
    <row r="5" spans="1:12">
      <c r="B5" s="2" t="s">
        <v>5</v>
      </c>
      <c r="C5" s="4">
        <v>265.25</v>
      </c>
      <c r="D5" s="4">
        <v>284.25</v>
      </c>
      <c r="E5" s="4">
        <v>286.5</v>
      </c>
      <c r="G5" s="4">
        <f t="shared" si="0"/>
        <v>570.75</v>
      </c>
      <c r="I5" s="4">
        <f>ROUND(10*G5/MAX(G$4:G$5),2)</f>
        <v>9.8699999999999992</v>
      </c>
      <c r="J5" s="16">
        <f t="shared" si="1"/>
        <v>71.34375</v>
      </c>
      <c r="K5" s="6">
        <f>IFERROR(VLOOKUP(J5,'Bonus Points'!$A$3:$B$21,2),0)</f>
        <v>16</v>
      </c>
      <c r="L5" s="4">
        <f t="shared" si="2"/>
        <v>25.869999999999997</v>
      </c>
    </row>
    <row r="6" spans="1:12">
      <c r="C6" s="4"/>
      <c r="D6" s="4"/>
      <c r="E6" s="4"/>
      <c r="G6" s="4"/>
    </row>
    <row r="7" spans="1:12">
      <c r="A7" s="2" t="s">
        <v>6</v>
      </c>
      <c r="C7" s="4"/>
      <c r="D7" s="4"/>
      <c r="E7" s="4"/>
      <c r="G7" s="4"/>
    </row>
    <row r="8" spans="1:12">
      <c r="B8" s="2" t="s">
        <v>7</v>
      </c>
      <c r="C8" s="4">
        <v>311</v>
      </c>
      <c r="D8" s="4">
        <v>358.75</v>
      </c>
      <c r="E8" s="4">
        <v>362</v>
      </c>
      <c r="F8" s="4"/>
      <c r="G8" s="4">
        <f>C8+D8+E8-MIN(C8,D8,E8)</f>
        <v>720.75</v>
      </c>
      <c r="I8" s="4">
        <f>ROUND(10*G8/MAX(G$8:G$8),2)</f>
        <v>10</v>
      </c>
      <c r="J8" s="16">
        <f>100*((C8+D8+E8)-MIN(C8,D8,E8))/1060</f>
        <v>67.995283018867923</v>
      </c>
      <c r="K8" s="6">
        <f>IFERROR(VLOOKUP(J8,'Bonus Points'!$A$3:$B$21,2),0)</f>
        <v>15</v>
      </c>
      <c r="L8" s="4">
        <f t="shared" ref="L8" si="3">I8+K8</f>
        <v>25</v>
      </c>
    </row>
    <row r="9" spans="1:12">
      <c r="C9" s="4"/>
      <c r="D9" s="4"/>
      <c r="E9" s="4"/>
      <c r="G9" s="4"/>
    </row>
    <row r="10" spans="1:12">
      <c r="A10" s="2" t="s">
        <v>9</v>
      </c>
      <c r="C10" s="4"/>
      <c r="D10" s="4"/>
      <c r="E10" s="4"/>
      <c r="G10" s="4"/>
    </row>
    <row r="11" spans="1:12">
      <c r="B11" s="2" t="s">
        <v>10</v>
      </c>
      <c r="C11" s="4">
        <v>490</v>
      </c>
      <c r="D11" s="4">
        <v>494</v>
      </c>
      <c r="E11" s="4">
        <v>522.25</v>
      </c>
      <c r="F11" s="4"/>
      <c r="G11" s="4">
        <f t="shared" ref="G11:G18" si="4">C11+D11+E11-MIN(C11,D11,E11)</f>
        <v>1016.25</v>
      </c>
      <c r="I11" s="4">
        <f t="shared" ref="I11:I18" si="5">ROUND(10*G11/MAX(G$11:G$19),2)</f>
        <v>10</v>
      </c>
      <c r="J11" s="16">
        <f t="shared" ref="J11:J18" si="6">100*((C11+D11+E11)-MIN(C11,D11,E11))/1200</f>
        <v>84.6875</v>
      </c>
      <c r="K11" s="6">
        <f>IFERROR(VLOOKUP(J11,'Bonus Points'!$A$3:$B$21,2),0)</f>
        <v>20</v>
      </c>
      <c r="L11" s="4">
        <f t="shared" ref="L11:L18" si="7">I11+K11</f>
        <v>30</v>
      </c>
    </row>
    <row r="12" spans="1:12">
      <c r="B12" s="2" t="s">
        <v>28</v>
      </c>
      <c r="C12" s="4">
        <v>416</v>
      </c>
      <c r="D12" s="4">
        <v>428.5</v>
      </c>
      <c r="E12" s="4">
        <v>456.75</v>
      </c>
      <c r="F12" s="4"/>
      <c r="G12" s="4">
        <f t="shared" si="4"/>
        <v>885.25</v>
      </c>
      <c r="I12" s="4">
        <f t="shared" si="5"/>
        <v>8.7100000000000009</v>
      </c>
      <c r="J12" s="16">
        <f t="shared" si="6"/>
        <v>73.770833333333329</v>
      </c>
      <c r="K12" s="6">
        <f>IFERROR(VLOOKUP(J12,'Bonus Points'!$A$3:$B$21,2),0)</f>
        <v>17</v>
      </c>
      <c r="L12" s="4">
        <f t="shared" si="7"/>
        <v>25.71</v>
      </c>
    </row>
    <row r="13" spans="1:12">
      <c r="B13" s="2" t="s">
        <v>15</v>
      </c>
      <c r="C13" s="4">
        <v>395</v>
      </c>
      <c r="D13" s="4">
        <v>419.25</v>
      </c>
      <c r="E13" s="4">
        <v>409.25</v>
      </c>
      <c r="F13" s="4"/>
      <c r="G13" s="4">
        <f t="shared" si="4"/>
        <v>828.5</v>
      </c>
      <c r="I13" s="4">
        <f t="shared" si="5"/>
        <v>8.15</v>
      </c>
      <c r="J13" s="16">
        <f t="shared" si="6"/>
        <v>69.041666666666671</v>
      </c>
      <c r="K13" s="6">
        <f>IFERROR(VLOOKUP(J13,'Bonus Points'!$A$3:$B$21,2),0)</f>
        <v>15</v>
      </c>
      <c r="L13" s="4">
        <f t="shared" si="7"/>
        <v>23.15</v>
      </c>
    </row>
    <row r="14" spans="1:12">
      <c r="B14" s="2" t="s">
        <v>4</v>
      </c>
      <c r="C14" s="4">
        <v>385.25</v>
      </c>
      <c r="D14" s="4">
        <v>387.75</v>
      </c>
      <c r="E14" s="4">
        <v>426.75</v>
      </c>
      <c r="F14" s="4"/>
      <c r="G14" s="4">
        <f t="shared" si="4"/>
        <v>814.5</v>
      </c>
      <c r="I14" s="4">
        <f t="shared" si="5"/>
        <v>8.01</v>
      </c>
      <c r="J14" s="16">
        <f t="shared" si="6"/>
        <v>67.875</v>
      </c>
      <c r="K14" s="6">
        <f>IFERROR(VLOOKUP(J14,'Bonus Points'!$A$3:$B$21,2),0)</f>
        <v>15</v>
      </c>
      <c r="L14" s="4">
        <f t="shared" si="7"/>
        <v>23.009999999999998</v>
      </c>
    </row>
    <row r="15" spans="1:12">
      <c r="B15" s="2" t="s">
        <v>16</v>
      </c>
      <c r="C15" s="4">
        <v>375.75</v>
      </c>
      <c r="D15" s="4">
        <v>352.75</v>
      </c>
      <c r="E15" s="4">
        <v>395</v>
      </c>
      <c r="F15" s="4"/>
      <c r="G15" s="4">
        <f t="shared" si="4"/>
        <v>770.75</v>
      </c>
      <c r="I15" s="4">
        <f t="shared" si="5"/>
        <v>7.58</v>
      </c>
      <c r="J15" s="16">
        <f t="shared" si="6"/>
        <v>64.229166666666671</v>
      </c>
      <c r="K15" s="6">
        <f>IFERROR(VLOOKUP(J15,'Bonus Points'!$A$3:$B$21,2),0)</f>
        <v>13</v>
      </c>
      <c r="L15" s="4">
        <f t="shared" si="7"/>
        <v>20.58</v>
      </c>
    </row>
    <row r="16" spans="1:12">
      <c r="B16" s="2" t="s">
        <v>32</v>
      </c>
      <c r="C16" s="4">
        <v>362.5</v>
      </c>
      <c r="D16" s="4">
        <v>342.5</v>
      </c>
      <c r="E16" s="4">
        <v>366.5</v>
      </c>
      <c r="F16" s="4"/>
      <c r="G16" s="4">
        <f t="shared" si="4"/>
        <v>729</v>
      </c>
      <c r="I16" s="4">
        <f t="shared" si="5"/>
        <v>7.17</v>
      </c>
      <c r="J16" s="16">
        <f t="shared" si="6"/>
        <v>60.75</v>
      </c>
      <c r="K16" s="6">
        <f>IFERROR(VLOOKUP(J16,'Bonus Points'!$A$3:$B$21,2),0)</f>
        <v>12</v>
      </c>
      <c r="L16" s="4">
        <f t="shared" si="7"/>
        <v>19.170000000000002</v>
      </c>
    </row>
    <row r="17" spans="2:12">
      <c r="B17" s="2" t="s">
        <v>30</v>
      </c>
      <c r="C17" s="4">
        <v>318.5</v>
      </c>
      <c r="D17" s="4">
        <v>301.5</v>
      </c>
      <c r="E17" s="4">
        <v>355</v>
      </c>
      <c r="F17" s="4"/>
      <c r="G17" s="4">
        <f t="shared" si="4"/>
        <v>673.5</v>
      </c>
      <c r="I17" s="4">
        <f t="shared" si="5"/>
        <v>6.63</v>
      </c>
      <c r="J17" s="16">
        <f t="shared" si="6"/>
        <v>56.125</v>
      </c>
      <c r="K17" s="6">
        <f>IFERROR(VLOOKUP(J17,'Bonus Points'!$A$3:$B$21,2),0)</f>
        <v>10</v>
      </c>
      <c r="L17" s="4">
        <f t="shared" si="7"/>
        <v>16.63</v>
      </c>
    </row>
    <row r="18" spans="2:12">
      <c r="B18" s="2" t="s">
        <v>33</v>
      </c>
      <c r="C18" s="4">
        <v>310.25</v>
      </c>
      <c r="D18" s="4">
        <v>280.75</v>
      </c>
      <c r="E18" s="4">
        <v>0</v>
      </c>
      <c r="F18" s="4"/>
      <c r="G18" s="4">
        <f t="shared" si="4"/>
        <v>591</v>
      </c>
      <c r="I18" s="4">
        <f t="shared" si="5"/>
        <v>5.82</v>
      </c>
      <c r="J18" s="16">
        <f t="shared" si="6"/>
        <v>49.25</v>
      </c>
      <c r="K18" s="6">
        <f>IFERROR(VLOOKUP(J18,'Bonus Points'!$A$3:$B$21,2),0)</f>
        <v>7</v>
      </c>
      <c r="L18" s="4">
        <f t="shared" si="7"/>
        <v>12.82</v>
      </c>
    </row>
    <row r="19" spans="2:12">
      <c r="C19" s="4"/>
      <c r="D19" s="4"/>
      <c r="E19" s="4"/>
      <c r="F19" s="4"/>
      <c r="G19" s="4"/>
      <c r="I19" s="4"/>
      <c r="J19" s="16"/>
      <c r="K19" s="6"/>
      <c r="L19" s="4"/>
    </row>
    <row r="20" spans="2:12">
      <c r="C20" s="4"/>
      <c r="D20" s="4"/>
      <c r="E20" s="4"/>
      <c r="G20" s="4"/>
      <c r="I20" s="4"/>
      <c r="J20" s="16"/>
      <c r="K20" s="6"/>
      <c r="L20" s="4"/>
    </row>
  </sheetData>
  <sortState xmlns:xlrd2="http://schemas.microsoft.com/office/spreadsheetml/2017/richdata2" ref="B11:J15">
    <sortCondition descending="1" ref="J11:J15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EE299-0D04-4B4A-80E1-5BDFD24419A6}">
  <dimension ref="A1:L23"/>
  <sheetViews>
    <sheetView workbookViewId="0">
      <selection activeCell="D30" sqref="D30"/>
    </sheetView>
  </sheetViews>
  <sheetFormatPr baseColWidth="10" defaultRowHeight="16"/>
  <cols>
    <col min="1" max="1" width="11.83203125" style="2" bestFit="1" customWidth="1"/>
    <col min="2" max="2" width="20.5" style="2" bestFit="1" customWidth="1"/>
    <col min="3" max="8" width="10.83203125" style="2"/>
    <col min="9" max="9" width="13.1640625" style="2" bestFit="1" customWidth="1"/>
    <col min="10" max="10" width="16.6640625" style="2" bestFit="1" customWidth="1"/>
    <col min="11" max="11" width="18.1640625" style="2" bestFit="1" customWidth="1"/>
    <col min="12" max="12" width="17.33203125" style="2" bestFit="1" customWidth="1"/>
    <col min="13" max="16384" width="10.83203125" style="2"/>
  </cols>
  <sheetData>
    <row r="1" spans="1:12">
      <c r="C1" s="2" t="s">
        <v>18</v>
      </c>
      <c r="D1" s="2" t="s">
        <v>19</v>
      </c>
      <c r="E1" s="2" t="s">
        <v>20</v>
      </c>
      <c r="G1" s="2" t="s">
        <v>2</v>
      </c>
      <c r="I1" s="2" t="s">
        <v>54</v>
      </c>
      <c r="J1" s="2" t="s">
        <v>53</v>
      </c>
      <c r="K1" s="2" t="s">
        <v>45</v>
      </c>
      <c r="L1" s="2" t="s">
        <v>52</v>
      </c>
    </row>
    <row r="2" spans="1:12">
      <c r="A2" s="2" t="s">
        <v>0</v>
      </c>
    </row>
    <row r="3" spans="1:12">
      <c r="B3" s="2" t="s">
        <v>76</v>
      </c>
      <c r="C3" s="4">
        <v>203.25</v>
      </c>
      <c r="D3" s="4">
        <v>210</v>
      </c>
      <c r="E3" s="4">
        <v>220.5</v>
      </c>
      <c r="G3" s="4">
        <f t="shared" ref="G3:G4" si="0">C3+D3+E3-MIN(C3,D3,E3)</f>
        <v>430.5</v>
      </c>
      <c r="I3" s="4">
        <f t="shared" ref="I3:I4" si="1">ROUND(10*G3/MAX(G$3:G$5),2)</f>
        <v>10</v>
      </c>
      <c r="J3" s="16">
        <f t="shared" ref="J3:J4" si="2">100*((C3+D3+E3)-MIN(C3,D3,E3))/660</f>
        <v>65.227272727272734</v>
      </c>
      <c r="K3" s="6">
        <f>IFERROR(VLOOKUP(J3,'Bonus Points'!$A$3:$B$21,2),0)</f>
        <v>14</v>
      </c>
      <c r="L3" s="4">
        <f t="shared" ref="L3:L5" si="3">I3+K3</f>
        <v>24</v>
      </c>
    </row>
    <row r="4" spans="1:12">
      <c r="B4" s="2" t="s">
        <v>23</v>
      </c>
      <c r="C4" s="4">
        <v>208</v>
      </c>
      <c r="D4" s="4">
        <v>182.25</v>
      </c>
      <c r="E4" s="4">
        <v>208</v>
      </c>
      <c r="G4" s="4">
        <f t="shared" si="0"/>
        <v>416</v>
      </c>
      <c r="I4" s="4">
        <f t="shared" si="1"/>
        <v>9.66</v>
      </c>
      <c r="J4" s="16">
        <f t="shared" si="2"/>
        <v>63.030303030303031</v>
      </c>
      <c r="K4" s="6">
        <f>IFERROR(VLOOKUP(J4,'Bonus Points'!$A$3:$B$21,2),0)</f>
        <v>13</v>
      </c>
      <c r="L4" s="4">
        <f t="shared" si="3"/>
        <v>22.66</v>
      </c>
    </row>
    <row r="5" spans="1:12">
      <c r="B5" s="2" t="s">
        <v>77</v>
      </c>
      <c r="C5" s="4">
        <v>201.5</v>
      </c>
      <c r="D5" s="4">
        <v>191</v>
      </c>
      <c r="E5" s="4">
        <v>194.75</v>
      </c>
      <c r="F5" s="4"/>
      <c r="G5" s="4">
        <f>C5+D5+E5-MIN(C5,D5,E5)</f>
        <v>396.25</v>
      </c>
      <c r="I5" s="4">
        <f>ROUND(10*G5/MAX(G$3:G$5),2)</f>
        <v>9.1999999999999993</v>
      </c>
      <c r="J5" s="16">
        <f>100*((C5+D5+E5)-MIN(C5,D5,E5))/660</f>
        <v>60.037878787878789</v>
      </c>
      <c r="K5" s="6">
        <f>IFERROR(VLOOKUP(J5,'Bonus Points'!$A$3:$B$21,2),0)</f>
        <v>12</v>
      </c>
      <c r="L5" s="4">
        <f t="shared" si="3"/>
        <v>21.2</v>
      </c>
    </row>
    <row r="6" spans="1:12">
      <c r="C6" s="4"/>
      <c r="D6" s="4"/>
      <c r="E6" s="4"/>
      <c r="F6" s="4"/>
      <c r="G6" s="4"/>
      <c r="I6" s="4"/>
      <c r="J6" s="16"/>
      <c r="K6" s="6"/>
      <c r="L6" s="4"/>
    </row>
    <row r="7" spans="1:12">
      <c r="A7" s="2" t="s">
        <v>3</v>
      </c>
      <c r="C7" s="4"/>
      <c r="D7" s="4"/>
      <c r="E7" s="4"/>
      <c r="G7" s="4"/>
      <c r="I7" s="4"/>
      <c r="J7" s="16"/>
      <c r="K7" s="6"/>
      <c r="L7" s="4"/>
    </row>
    <row r="8" spans="1:12">
      <c r="B8" s="2" t="s">
        <v>5</v>
      </c>
      <c r="C8" s="4">
        <v>244.5</v>
      </c>
      <c r="D8" s="4">
        <v>243.25</v>
      </c>
      <c r="E8" s="4">
        <v>267</v>
      </c>
      <c r="G8" s="4">
        <f t="shared" ref="G8" si="4">C8+D8+E8-MIN(C8,D8,E8)</f>
        <v>511.5</v>
      </c>
      <c r="I8" s="4">
        <f t="shared" ref="I8" si="5">ROUND(10*G8/MAX(G$5:G$6),2)</f>
        <v>12.91</v>
      </c>
      <c r="J8" s="16">
        <f t="shared" ref="J8" si="6">100*((C8+D8+E8)-MIN(C8,D8,E8))/800</f>
        <v>63.9375</v>
      </c>
      <c r="K8" s="6">
        <f>IFERROR(VLOOKUP(J8,'Bonus Points'!$A$3:$B$21,2),0)</f>
        <v>13</v>
      </c>
      <c r="L8" s="4">
        <f t="shared" ref="L8" si="7">I8+K8</f>
        <v>25.91</v>
      </c>
    </row>
    <row r="9" spans="1:12">
      <c r="C9" s="4"/>
      <c r="D9" s="4"/>
      <c r="E9" s="4"/>
      <c r="G9" s="4"/>
      <c r="I9" s="4"/>
      <c r="J9" s="16"/>
      <c r="K9" s="6"/>
      <c r="L9" s="4"/>
    </row>
    <row r="10" spans="1:12">
      <c r="C10" s="4"/>
      <c r="D10" s="4"/>
      <c r="E10" s="4"/>
      <c r="G10" s="4"/>
      <c r="I10" s="4"/>
      <c r="J10" s="16"/>
      <c r="K10" s="6"/>
      <c r="L10" s="4"/>
    </row>
    <row r="11" spans="1:12">
      <c r="C11" s="4"/>
      <c r="D11" s="4"/>
      <c r="E11" s="4"/>
      <c r="G11" s="4"/>
    </row>
    <row r="12" spans="1:12">
      <c r="A12" s="2" t="s">
        <v>6</v>
      </c>
      <c r="C12" s="4"/>
      <c r="D12" s="4"/>
      <c r="E12" s="4"/>
      <c r="G12" s="4"/>
    </row>
    <row r="13" spans="1:12">
      <c r="B13" s="2" t="s">
        <v>7</v>
      </c>
      <c r="C13" s="4">
        <v>307.25</v>
      </c>
      <c r="D13" s="4">
        <v>300</v>
      </c>
      <c r="E13" s="4">
        <v>331.5</v>
      </c>
      <c r="F13" s="4"/>
      <c r="G13" s="4">
        <f>C13+D13+E13-MIN(C13,D13,E13)</f>
        <v>638.75</v>
      </c>
      <c r="I13" s="4">
        <f>ROUND(10*G13/MAX(G$13:G$13),2)</f>
        <v>10</v>
      </c>
      <c r="J13" s="16">
        <f>100*((C13+D13+E13)-MIN(C13,D13,E13))/1060</f>
        <v>60.259433962264154</v>
      </c>
      <c r="K13" s="6">
        <f>IFERROR(VLOOKUP(J13,'Bonus Points'!$A$3:$B$21,2),0)</f>
        <v>12</v>
      </c>
      <c r="L13" s="4">
        <f t="shared" ref="L13" si="8">I13+K13</f>
        <v>22</v>
      </c>
    </row>
    <row r="14" spans="1:12">
      <c r="C14" s="4"/>
      <c r="D14" s="4"/>
      <c r="E14" s="4"/>
      <c r="G14" s="4"/>
    </row>
    <row r="15" spans="1:12">
      <c r="A15" s="2" t="s">
        <v>9</v>
      </c>
      <c r="C15" s="4"/>
      <c r="D15" s="4"/>
      <c r="E15" s="4"/>
      <c r="G15" s="4"/>
    </row>
    <row r="16" spans="1:12">
      <c r="B16" s="2" t="s">
        <v>28</v>
      </c>
      <c r="C16" s="4">
        <v>401</v>
      </c>
      <c r="D16" s="4">
        <v>361.5</v>
      </c>
      <c r="E16" s="4">
        <v>426</v>
      </c>
      <c r="F16" s="4"/>
      <c r="G16" s="4">
        <f t="shared" ref="G16:G23" si="9">C16+D16+E16-MIN(C16,D16,E16)</f>
        <v>827</v>
      </c>
      <c r="I16" s="4">
        <f t="shared" ref="I16:I23" si="10">ROUND(10*G16/MAX(G$16:G$23),2)</f>
        <v>10</v>
      </c>
      <c r="J16" s="16">
        <f t="shared" ref="J16:J23" si="11">100*((C16+D16+E16)-MIN(C16,D16,E16))/1200</f>
        <v>68.916666666666671</v>
      </c>
      <c r="K16" s="6">
        <f>IFERROR(VLOOKUP(J16,'Bonus Points'!$A$3:$B$21,2),0)</f>
        <v>15</v>
      </c>
      <c r="L16" s="4">
        <f t="shared" ref="L16:L23" si="12">I16+K16</f>
        <v>25</v>
      </c>
    </row>
    <row r="17" spans="2:12">
      <c r="B17" s="2" t="s">
        <v>4</v>
      </c>
      <c r="C17" s="4">
        <v>399</v>
      </c>
      <c r="D17" s="4">
        <v>325.25</v>
      </c>
      <c r="E17" s="4">
        <v>401.75</v>
      </c>
      <c r="F17" s="4"/>
      <c r="G17" s="4">
        <f t="shared" si="9"/>
        <v>800.75</v>
      </c>
      <c r="I17" s="4">
        <f t="shared" si="10"/>
        <v>9.68</v>
      </c>
      <c r="J17" s="16">
        <f t="shared" si="11"/>
        <v>66.729166666666671</v>
      </c>
      <c r="K17" s="6">
        <f>IFERROR(VLOOKUP(J17,'Bonus Points'!$A$3:$B$21,2),0)</f>
        <v>14</v>
      </c>
      <c r="L17" s="4">
        <f t="shared" si="12"/>
        <v>23.68</v>
      </c>
    </row>
    <row r="18" spans="2:12">
      <c r="B18" s="2" t="s">
        <v>15</v>
      </c>
      <c r="C18" s="4">
        <v>380.5</v>
      </c>
      <c r="D18" s="4">
        <v>373.25</v>
      </c>
      <c r="E18" s="4">
        <v>412</v>
      </c>
      <c r="F18" s="4"/>
      <c r="G18" s="4">
        <f t="shared" si="9"/>
        <v>792.5</v>
      </c>
      <c r="I18" s="4">
        <f t="shared" si="10"/>
        <v>9.58</v>
      </c>
      <c r="J18" s="16">
        <f t="shared" si="11"/>
        <v>66.041666666666671</v>
      </c>
      <c r="K18" s="6">
        <f>IFERROR(VLOOKUP(J18,'Bonus Points'!$A$3:$B$21,2),0)</f>
        <v>14</v>
      </c>
      <c r="L18" s="4">
        <f t="shared" si="12"/>
        <v>23.58</v>
      </c>
    </row>
    <row r="19" spans="2:12">
      <c r="B19" s="2" t="s">
        <v>32</v>
      </c>
      <c r="C19" s="4">
        <v>312.25</v>
      </c>
      <c r="D19" s="4">
        <v>334</v>
      </c>
      <c r="E19" s="4">
        <v>361.75</v>
      </c>
      <c r="F19" s="4"/>
      <c r="G19" s="4">
        <f t="shared" si="9"/>
        <v>695.75</v>
      </c>
      <c r="I19" s="4">
        <f t="shared" si="10"/>
        <v>8.41</v>
      </c>
      <c r="J19" s="16">
        <f t="shared" si="11"/>
        <v>57.979166666666664</v>
      </c>
      <c r="K19" s="6">
        <f>IFERROR(VLOOKUP(J19,'Bonus Points'!$A$3:$B$21,2),0)</f>
        <v>11</v>
      </c>
      <c r="L19" s="4">
        <f t="shared" si="12"/>
        <v>19.41</v>
      </c>
    </row>
    <row r="20" spans="2:12">
      <c r="B20" s="2" t="s">
        <v>30</v>
      </c>
      <c r="C20" s="4">
        <v>331</v>
      </c>
      <c r="D20" s="4">
        <v>285.75</v>
      </c>
      <c r="E20" s="4">
        <v>364.5</v>
      </c>
      <c r="F20" s="4"/>
      <c r="G20" s="4">
        <f t="shared" si="9"/>
        <v>695.5</v>
      </c>
      <c r="I20" s="4">
        <f t="shared" si="10"/>
        <v>8.41</v>
      </c>
      <c r="J20" s="16">
        <f t="shared" si="11"/>
        <v>57.958333333333336</v>
      </c>
      <c r="K20" s="6">
        <f>IFERROR(VLOOKUP(J20,'Bonus Points'!$A$3:$B$21,2),0)</f>
        <v>11</v>
      </c>
      <c r="L20" s="4">
        <f t="shared" si="12"/>
        <v>19.41</v>
      </c>
    </row>
    <row r="21" spans="2:12">
      <c r="B21" s="2" t="s">
        <v>33</v>
      </c>
      <c r="C21" s="4">
        <v>286.5</v>
      </c>
      <c r="D21" s="4">
        <v>316.5</v>
      </c>
      <c r="E21" s="4">
        <v>356.5</v>
      </c>
      <c r="F21" s="4"/>
      <c r="G21" s="4">
        <f t="shared" si="9"/>
        <v>673</v>
      </c>
      <c r="I21" s="4">
        <f t="shared" si="10"/>
        <v>8.14</v>
      </c>
      <c r="J21" s="16">
        <f t="shared" si="11"/>
        <v>56.083333333333336</v>
      </c>
      <c r="K21" s="6">
        <f>IFERROR(VLOOKUP(J21,'Bonus Points'!$A$3:$B$21,2),0)</f>
        <v>10</v>
      </c>
      <c r="L21" s="4">
        <f t="shared" si="12"/>
        <v>18.14</v>
      </c>
    </row>
    <row r="22" spans="2:12">
      <c r="B22" s="2" t="s">
        <v>78</v>
      </c>
      <c r="C22" s="4">
        <v>313.25</v>
      </c>
      <c r="D22" s="4">
        <v>310.25</v>
      </c>
      <c r="E22" s="4">
        <v>337.25</v>
      </c>
      <c r="F22" s="4"/>
      <c r="G22" s="4">
        <f t="shared" si="9"/>
        <v>650.5</v>
      </c>
      <c r="I22" s="4">
        <f t="shared" si="10"/>
        <v>7.87</v>
      </c>
      <c r="J22" s="16">
        <f t="shared" si="11"/>
        <v>54.208333333333336</v>
      </c>
      <c r="K22" s="6">
        <f>IFERROR(VLOOKUP(J22,'Bonus Points'!$A$3:$B$21,2),0)</f>
        <v>9</v>
      </c>
      <c r="L22" s="4">
        <f t="shared" si="12"/>
        <v>16.87</v>
      </c>
    </row>
    <row r="23" spans="2:12">
      <c r="B23" s="2" t="s">
        <v>8</v>
      </c>
      <c r="C23" s="4">
        <v>293.75</v>
      </c>
      <c r="D23" s="4">
        <v>268.5</v>
      </c>
      <c r="E23" s="4">
        <v>274.75</v>
      </c>
      <c r="F23" s="4"/>
      <c r="G23" s="4">
        <f t="shared" si="9"/>
        <v>568.5</v>
      </c>
      <c r="I23" s="4">
        <f t="shared" si="10"/>
        <v>6.87</v>
      </c>
      <c r="J23" s="16">
        <f t="shared" si="11"/>
        <v>47.375</v>
      </c>
      <c r="K23" s="6">
        <f>IFERROR(VLOOKUP(J23,'Bonus Points'!$A$3:$B$21,2),0)</f>
        <v>6</v>
      </c>
      <c r="L23" s="4">
        <f t="shared" si="12"/>
        <v>12.870000000000001</v>
      </c>
    </row>
  </sheetData>
  <sortState xmlns:xlrd2="http://schemas.microsoft.com/office/spreadsheetml/2017/richdata2" ref="B21:O26">
    <sortCondition descending="1" ref="J21:J26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A9BDF-57C0-F44E-9868-4FB618DBA222}">
  <dimension ref="A1:V16"/>
  <sheetViews>
    <sheetView workbookViewId="0">
      <selection activeCell="L4" sqref="L4"/>
    </sheetView>
  </sheetViews>
  <sheetFormatPr baseColWidth="10" defaultRowHeight="16"/>
  <cols>
    <col min="1" max="1" width="11.83203125" style="2" bestFit="1" customWidth="1"/>
    <col min="2" max="2" width="18.33203125" style="2" bestFit="1" customWidth="1"/>
    <col min="3" max="10" width="10.83203125" style="2"/>
    <col min="11" max="11" width="13.1640625" style="2" bestFit="1" customWidth="1"/>
    <col min="12" max="12" width="16.6640625" style="2" bestFit="1" customWidth="1"/>
    <col min="13" max="13" width="18.1640625" style="2" bestFit="1" customWidth="1"/>
    <col min="14" max="14" width="17.33203125" style="2" bestFit="1" customWidth="1"/>
    <col min="15" max="20" width="10.83203125" style="2"/>
    <col min="21" max="21" width="15.33203125" style="2" bestFit="1" customWidth="1"/>
    <col min="22" max="22" width="27.6640625" style="2" bestFit="1" customWidth="1"/>
    <col min="23" max="16384" width="10.83203125" style="2"/>
  </cols>
  <sheetData>
    <row r="1" spans="1:22">
      <c r="C1" s="2" t="s">
        <v>18</v>
      </c>
      <c r="D1" s="2" t="s">
        <v>19</v>
      </c>
      <c r="E1" s="2" t="s">
        <v>20</v>
      </c>
      <c r="F1" s="2" t="s">
        <v>37</v>
      </c>
      <c r="I1" s="2" t="s">
        <v>2</v>
      </c>
      <c r="K1" s="2" t="s">
        <v>54</v>
      </c>
      <c r="L1" s="2" t="s">
        <v>53</v>
      </c>
      <c r="M1" s="2" t="s">
        <v>45</v>
      </c>
      <c r="N1" s="2" t="s">
        <v>52</v>
      </c>
      <c r="P1" s="2" t="s">
        <v>18</v>
      </c>
      <c r="Q1" s="2" t="s">
        <v>19</v>
      </c>
      <c r="R1" s="2" t="s">
        <v>20</v>
      </c>
      <c r="S1" s="2" t="s">
        <v>37</v>
      </c>
      <c r="U1" s="2" t="s">
        <v>79</v>
      </c>
      <c r="V1" s="2" t="s">
        <v>55</v>
      </c>
    </row>
    <row r="2" spans="1:22">
      <c r="P2" s="2" t="s">
        <v>22</v>
      </c>
      <c r="Q2" s="2" t="s">
        <v>22</v>
      </c>
      <c r="R2" s="2" t="s">
        <v>22</v>
      </c>
      <c r="S2" s="2" t="s">
        <v>22</v>
      </c>
    </row>
    <row r="3" spans="1:22">
      <c r="A3" s="2" t="s">
        <v>6</v>
      </c>
    </row>
    <row r="4" spans="1:22">
      <c r="B4" s="2" t="s">
        <v>7</v>
      </c>
      <c r="C4" s="4">
        <v>322.75</v>
      </c>
      <c r="D4" s="4">
        <v>324.25</v>
      </c>
      <c r="E4" s="4">
        <v>338</v>
      </c>
      <c r="F4" s="4">
        <v>335.75</v>
      </c>
      <c r="G4" s="4"/>
      <c r="H4" s="4"/>
      <c r="I4" s="4">
        <f>C4+D4+E4+F4-MIN(C4,D4,E4,F4)</f>
        <v>998</v>
      </c>
      <c r="K4" s="4">
        <f>ROUND(10*I4/MAX(I$4:I$4),2)</f>
        <v>10</v>
      </c>
      <c r="L4" s="16">
        <f>100*((C4+D4+E4+F4)-MIN(C4,D4,E4,F4))/1590</f>
        <v>62.767295597484278</v>
      </c>
      <c r="M4" s="6">
        <f>IFERROR(VLOOKUP(L4,'Bonus Points'!$A$3:$B$21,2),0)</f>
        <v>13</v>
      </c>
      <c r="N4" s="4">
        <f t="shared" ref="N4" si="0">K4+M4</f>
        <v>23</v>
      </c>
    </row>
    <row r="5" spans="1:22">
      <c r="I5" s="4"/>
    </row>
    <row r="6" spans="1:22">
      <c r="A6" s="2" t="s">
        <v>9</v>
      </c>
      <c r="I6" s="4"/>
    </row>
    <row r="7" spans="1:22">
      <c r="B7" s="2" t="s">
        <v>11</v>
      </c>
      <c r="C7" s="4">
        <v>453</v>
      </c>
      <c r="D7" s="4">
        <v>466</v>
      </c>
      <c r="E7" s="4">
        <v>452.75</v>
      </c>
      <c r="F7" s="4">
        <v>462.75</v>
      </c>
      <c r="G7" s="4"/>
      <c r="H7" s="4"/>
      <c r="I7" s="4">
        <f t="shared" ref="I7:I12" si="1">C7+D7+E7+F7-MIN(C7,D7,E7,F7)</f>
        <v>1381.75</v>
      </c>
      <c r="K7" s="4">
        <f t="shared" ref="K7:K12" si="2">ROUND(10*I7/MAX(I$7:I$15),2)</f>
        <v>10</v>
      </c>
      <c r="L7" s="16">
        <f t="shared" ref="L7:L12" si="3">100*((C7+D7+E7+F7)-MIN(C7,D7,E7,F7))/1800</f>
        <v>76.763888888888886</v>
      </c>
      <c r="M7" s="6">
        <f>IFERROR(VLOOKUP(L7,'Bonus Points'!$A$3:$B$21,2),0)</f>
        <v>18</v>
      </c>
      <c r="N7" s="4">
        <f t="shared" ref="N7:N12" si="4">K7+M7</f>
        <v>28</v>
      </c>
      <c r="P7" s="4">
        <f>1000*C7/MAX(C$7:C$12)</f>
        <v>994.51152579582879</v>
      </c>
      <c r="Q7" s="4">
        <f t="shared" ref="Q7:Q12" si="5">1000*D7/MAX(D$7:D$12)</f>
        <v>1000</v>
      </c>
      <c r="R7" s="4">
        <f t="shared" ref="R7:R12" si="6">1000*E7/MAX(E$7:E$12)</f>
        <v>991.78532311062429</v>
      </c>
      <c r="S7" s="4">
        <f t="shared" ref="S7:S12" si="7">1000*F7/MAX(F$7:F$12)</f>
        <v>999.46004319654423</v>
      </c>
      <c r="U7" s="4">
        <f>SUM(P7:S7)-MIN(P7:S7)</f>
        <v>2993.9715689923728</v>
      </c>
      <c r="V7" s="4">
        <f>U7/3</f>
        <v>997.99052299745756</v>
      </c>
    </row>
    <row r="8" spans="1:22">
      <c r="B8" s="2" t="s">
        <v>10</v>
      </c>
      <c r="C8" s="4">
        <v>455.5</v>
      </c>
      <c r="D8" s="4">
        <v>461.5</v>
      </c>
      <c r="E8" s="4">
        <v>456.5</v>
      </c>
      <c r="F8" s="4">
        <v>463</v>
      </c>
      <c r="G8" s="4"/>
      <c r="H8" s="4"/>
      <c r="I8" s="4">
        <f t="shared" si="1"/>
        <v>1381</v>
      </c>
      <c r="K8" s="4">
        <f t="shared" si="2"/>
        <v>9.99</v>
      </c>
      <c r="L8" s="16">
        <f t="shared" si="3"/>
        <v>76.722222222222229</v>
      </c>
      <c r="M8" s="6">
        <f>IFERROR(VLOOKUP(L8,'Bonus Points'!$A$3:$B$21,2),0)</f>
        <v>18</v>
      </c>
      <c r="N8" s="4">
        <f t="shared" si="4"/>
        <v>27.990000000000002</v>
      </c>
      <c r="P8" s="4">
        <f t="shared" ref="P8:P12" si="8">1000*C8/MAX(C$7:C$12)</f>
        <v>1000</v>
      </c>
      <c r="Q8" s="4">
        <f t="shared" si="5"/>
        <v>990.34334763948493</v>
      </c>
      <c r="R8" s="4">
        <f t="shared" si="6"/>
        <v>1000</v>
      </c>
      <c r="S8" s="4">
        <f t="shared" si="7"/>
        <v>1000</v>
      </c>
      <c r="U8" s="4">
        <f t="shared" ref="U8:U12" si="9">SUM(P8:S8)-MIN(P8:S8)</f>
        <v>3000</v>
      </c>
      <c r="V8" s="4">
        <f t="shared" ref="V8:V12" si="10">U8/3</f>
        <v>1000</v>
      </c>
    </row>
    <row r="9" spans="1:22">
      <c r="B9" s="2" t="s">
        <v>60</v>
      </c>
      <c r="C9" s="4">
        <v>450.25</v>
      </c>
      <c r="D9" s="4">
        <v>456</v>
      </c>
      <c r="E9" s="4">
        <v>435.5</v>
      </c>
      <c r="F9" s="4">
        <v>456.5</v>
      </c>
      <c r="G9" s="4"/>
      <c r="H9" s="4"/>
      <c r="I9" s="4">
        <f t="shared" si="1"/>
        <v>1362.75</v>
      </c>
      <c r="K9" s="4">
        <f t="shared" si="2"/>
        <v>9.86</v>
      </c>
      <c r="L9" s="16">
        <f t="shared" si="3"/>
        <v>75.708333333333329</v>
      </c>
      <c r="M9" s="6">
        <f>IFERROR(VLOOKUP(L9,'Bonus Points'!$A$3:$B$21,2),0)</f>
        <v>18</v>
      </c>
      <c r="N9" s="4">
        <f t="shared" si="4"/>
        <v>27.86</v>
      </c>
      <c r="P9" s="4">
        <f t="shared" si="8"/>
        <v>988.47420417124044</v>
      </c>
      <c r="Q9" s="4">
        <f t="shared" si="5"/>
        <v>978.54077253218884</v>
      </c>
      <c r="R9" s="4">
        <f t="shared" si="6"/>
        <v>953.99780941949621</v>
      </c>
      <c r="S9" s="4">
        <f t="shared" si="7"/>
        <v>985.96112311015122</v>
      </c>
      <c r="U9" s="4">
        <f t="shared" si="9"/>
        <v>2952.9760998135807</v>
      </c>
      <c r="V9" s="4">
        <f t="shared" si="10"/>
        <v>984.32536660452695</v>
      </c>
    </row>
    <row r="10" spans="1:22">
      <c r="B10" s="2" t="s">
        <v>14</v>
      </c>
      <c r="C10" s="4">
        <v>399.5</v>
      </c>
      <c r="D10" s="4">
        <v>423</v>
      </c>
      <c r="E10" s="4">
        <v>405.75</v>
      </c>
      <c r="F10" s="4">
        <v>413.5</v>
      </c>
      <c r="G10" s="4"/>
      <c r="H10" s="4"/>
      <c r="I10" s="4">
        <f t="shared" si="1"/>
        <v>1242.25</v>
      </c>
      <c r="K10" s="4">
        <f t="shared" si="2"/>
        <v>8.99</v>
      </c>
      <c r="L10" s="16">
        <f t="shared" si="3"/>
        <v>69.013888888888886</v>
      </c>
      <c r="M10" s="6">
        <f>IFERROR(VLOOKUP(L10,'Bonus Points'!$A$3:$B$21,2),0)</f>
        <v>15</v>
      </c>
      <c r="N10" s="4">
        <f t="shared" si="4"/>
        <v>23.990000000000002</v>
      </c>
      <c r="P10" s="4">
        <f t="shared" si="8"/>
        <v>877.05817782656425</v>
      </c>
      <c r="Q10" s="4">
        <f t="shared" si="5"/>
        <v>907.72532188841205</v>
      </c>
      <c r="R10" s="4">
        <f t="shared" si="6"/>
        <v>888.82803943044905</v>
      </c>
      <c r="S10" s="4">
        <f t="shared" si="7"/>
        <v>893.08855291576674</v>
      </c>
      <c r="U10" s="4">
        <f t="shared" si="9"/>
        <v>2689.6419142346276</v>
      </c>
      <c r="V10" s="4">
        <f t="shared" si="10"/>
        <v>896.54730474487587</v>
      </c>
    </row>
    <row r="11" spans="1:22">
      <c r="B11" s="2" t="s">
        <v>16</v>
      </c>
      <c r="C11" s="4">
        <v>377</v>
      </c>
      <c r="D11" s="4">
        <v>373.5</v>
      </c>
      <c r="E11" s="4">
        <v>396.25</v>
      </c>
      <c r="F11" s="4">
        <v>401</v>
      </c>
      <c r="G11" s="4"/>
      <c r="H11" s="4"/>
      <c r="I11" s="4">
        <f t="shared" si="1"/>
        <v>1174.25</v>
      </c>
      <c r="K11" s="4">
        <f t="shared" si="2"/>
        <v>8.5</v>
      </c>
      <c r="L11" s="16">
        <f t="shared" si="3"/>
        <v>65.236111111111114</v>
      </c>
      <c r="M11" s="6">
        <f>IFERROR(VLOOKUP(L11,'Bonus Points'!$A$3:$B$21,2),0)</f>
        <v>14</v>
      </c>
      <c r="N11" s="4">
        <f t="shared" si="4"/>
        <v>22.5</v>
      </c>
      <c r="P11" s="4">
        <f t="shared" si="8"/>
        <v>827.661909989023</v>
      </c>
      <c r="Q11" s="4">
        <f t="shared" si="5"/>
        <v>801.50214592274676</v>
      </c>
      <c r="R11" s="4">
        <f t="shared" si="6"/>
        <v>868.01752464403069</v>
      </c>
      <c r="S11" s="4">
        <f t="shared" si="7"/>
        <v>866.0907127429806</v>
      </c>
      <c r="U11" s="4">
        <f t="shared" si="9"/>
        <v>2561.7701473760339</v>
      </c>
      <c r="V11" s="4">
        <f t="shared" si="10"/>
        <v>853.92338245867802</v>
      </c>
    </row>
    <row r="12" spans="1:22">
      <c r="B12" s="2" t="s">
        <v>4</v>
      </c>
      <c r="C12" s="4">
        <v>344.75</v>
      </c>
      <c r="D12" s="4">
        <v>377.5</v>
      </c>
      <c r="E12" s="4">
        <v>373.25</v>
      </c>
      <c r="F12" s="4">
        <v>379.75</v>
      </c>
      <c r="G12" s="4"/>
      <c r="H12" s="4"/>
      <c r="I12" s="4">
        <f t="shared" si="1"/>
        <v>1130.5</v>
      </c>
      <c r="K12" s="4">
        <f t="shared" si="2"/>
        <v>8.18</v>
      </c>
      <c r="L12" s="16">
        <f t="shared" si="3"/>
        <v>62.805555555555557</v>
      </c>
      <c r="M12" s="6">
        <f>IFERROR(VLOOKUP(L12,'Bonus Points'!$A$3:$B$21,2),0)</f>
        <v>13</v>
      </c>
      <c r="N12" s="4">
        <f t="shared" si="4"/>
        <v>21.18</v>
      </c>
      <c r="P12" s="4">
        <f t="shared" si="8"/>
        <v>756.86059275521404</v>
      </c>
      <c r="Q12" s="4">
        <f t="shared" si="5"/>
        <v>810.0858369098712</v>
      </c>
      <c r="R12" s="4">
        <f t="shared" si="6"/>
        <v>817.63417305585983</v>
      </c>
      <c r="S12" s="4">
        <f t="shared" si="7"/>
        <v>820.19438444924401</v>
      </c>
      <c r="U12" s="4">
        <f t="shared" si="9"/>
        <v>2447.914394414975</v>
      </c>
      <c r="V12" s="4">
        <f t="shared" si="10"/>
        <v>815.97146480499168</v>
      </c>
    </row>
    <row r="13" spans="1:22">
      <c r="C13" s="4"/>
      <c r="D13" s="4"/>
      <c r="E13" s="4"/>
      <c r="F13" s="4"/>
      <c r="G13" s="4"/>
      <c r="H13" s="4"/>
      <c r="I13" s="4"/>
      <c r="K13" s="4"/>
      <c r="L13" s="16"/>
      <c r="M13" s="6"/>
      <c r="N13" s="4"/>
    </row>
    <row r="14" spans="1:22">
      <c r="C14" s="4"/>
      <c r="D14" s="4"/>
      <c r="E14" s="4"/>
      <c r="F14" s="4"/>
      <c r="G14" s="4"/>
      <c r="H14" s="4"/>
      <c r="I14" s="4"/>
      <c r="K14" s="4"/>
      <c r="L14" s="16"/>
      <c r="M14" s="6"/>
      <c r="N14" s="4"/>
    </row>
    <row r="15" spans="1:22">
      <c r="C15" s="4"/>
      <c r="D15" s="4"/>
      <c r="E15" s="4"/>
      <c r="F15" s="4"/>
      <c r="G15" s="4"/>
      <c r="H15" s="4"/>
      <c r="I15" s="4"/>
      <c r="K15" s="4"/>
      <c r="L15" s="16"/>
      <c r="M15" s="6"/>
      <c r="N15" s="4"/>
    </row>
    <row r="16" spans="1:22">
      <c r="I1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Hurley 16th April 2023</vt:lpstr>
      <vt:lpstr>Buckminster 30th April 2023</vt:lpstr>
      <vt:lpstr>Championships 14th May 2023</vt:lpstr>
      <vt:lpstr>Skelbrooke 21st May 2023</vt:lpstr>
      <vt:lpstr>Knettishall 3rd June 2023</vt:lpstr>
      <vt:lpstr>Ashbourne 18th June 2023</vt:lpstr>
      <vt:lpstr>Colmworth 2nd July 2023</vt:lpstr>
      <vt:lpstr>Baldock 13th August 2023</vt:lpstr>
      <vt:lpstr>Ashbourne 20th August 2023</vt:lpstr>
      <vt:lpstr>Knettishall 16th September 2023</vt:lpstr>
      <vt:lpstr>Leicester 24th September 2023</vt:lpstr>
      <vt:lpstr>Nationals 1st October 2023</vt:lpstr>
      <vt:lpstr>GBRCAA National League</vt:lpstr>
      <vt:lpstr>BMFA League</vt:lpstr>
      <vt:lpstr>Bonus Points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Caton</dc:creator>
  <cp:lastModifiedBy>Kevin Caton</cp:lastModifiedBy>
  <dcterms:created xsi:type="dcterms:W3CDTF">2022-07-10T18:01:50Z</dcterms:created>
  <dcterms:modified xsi:type="dcterms:W3CDTF">2023-10-02T19:48:14Z</dcterms:modified>
</cp:coreProperties>
</file>